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eniano.sharepoint.com/sites/ENIANO_STUDENTS/Freigegebene Dokumente/Wolfgang_Mayer/2022_Meilensteinplan_EBE/Ebersberg_modell/2302015_modell_kommunal_ebe/Results/"/>
    </mc:Choice>
  </mc:AlternateContent>
  <xr:revisionPtr revIDLastSave="7" documentId="13_ncr:1_{E459786D-CAFF-479A-A0B7-8F028BE66534}" xr6:coauthVersionLast="47" xr6:coauthVersionMax="47" xr10:uidLastSave="{90EA6EA8-C7BC-41AE-9024-752FBEDAE45A}"/>
  <bookViews>
    <workbookView xWindow="23880" yWindow="-120" windowWidth="29040" windowHeight="15840" tabRatio="939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<sst xmlns="http://schemas.openxmlformats.org/spreadsheetml/2006/main" count="283" uniqueCount="198">
  <si>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</si>
  <si>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</si>
  <si>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</si>
  <si>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</si>
  <si>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</si>
  <si>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</si>
  <si>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</si>
  <si>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</si>
  <si>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</si>
  <si>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</si>
  <si>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</si>
  <si>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</si>
  <si>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</si>
  <si>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</si>
  <si>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</si>
  <si>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</si>
  <si>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</si>
  <si>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</si>
  <si>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</si>
  <si>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</si>
  <si>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</si>
  <si>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</si>
  <si>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</si>
  <si>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</si>
  <si>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</si>
  <si>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</si>
  <si>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</si>
  <si>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</si>
  <si>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</si>
  <si>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</si>
  <si>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</si>
  <si>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</si>
  <si>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</si>
  <si>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</si>
  <si>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</si>
  <si>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</si>
  <si>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</si>
  <si>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</si>
  <si>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</si>
  <si>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</si>
  <si>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</si>
  <si>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</si>
  <si>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</si>
  <si>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</si>
  <si>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</si>
  <si>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</si>
  <si>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</si>
  <si>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</si>
  <si>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</si>
  <si>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</si>
  <si>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</si>
  <si>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</si>
  <si>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</si>
  <si>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</si>
  <si>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</si>
  <si>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</si>
  <si>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</si>
  <si>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</si>
  <si>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</si>
  <si>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</si>
  <si>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</si>
  <si>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</si>
  <si>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</si>
  <si>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</si>
  <si>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</si>
  <si>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</si>
  <si>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</si>
  <si>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</si>
  <si>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</si>
  <si>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</si>
  <si>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</si>
  <si>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</si>
  <si>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</si>
  <si>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</si>
  <si>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</si>
  <si>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</si>
  <si>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</si>
  <si>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</si>
  <si>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</si>
  <si>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</si>
  <si>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</si>
  <si>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</si>
  <si>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</si>
  <si>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</si>
  <si>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</si>
  <si>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</si>
  <si>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</si>
  <si>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</si>
  <si>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</si>
  <si>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</si>
  <si>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</si>
  <si>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</si>
  <si>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</si>
  <si>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</si>
  <si>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</si>
  <si>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</si>
  <si>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</si>
  <si>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</si>
  <si>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</si>
  <si>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</si>
  <si>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</si>
  <si>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</si>
  <si>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</si>
  <si>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</si>
  <si>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</si>
  <si>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</si>
  <si>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</si>
  <si>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</si>
  <si>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</si>
  <si>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</si>
  <si>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</si>
  <si>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</si>
  <si>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</si>
  <si>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</si>
  <si>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</si>
  <si>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</si>
  <si>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</si>
  <si>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</si>
  <si>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</si>
  <si>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</si>
  <si>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</si>
  <si>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</si>
  <si>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</si>
  <si>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</si>
  <si>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</si>
  <si>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</si>
  <si>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</si>
  <si>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</si>
  <si>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</si>
  <si>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</si>
  <si>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</si>
  <si>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</si>
  <si>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</si>
  <si>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</si>
  <si>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</si>
  <si>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</si>
  <si>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</si>
  <si>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</si>
  <si>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</si>
  <si>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</si>
  <si>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</si>
  <si>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</si>
  <si>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</si>
  <si>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</si>
  <si>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</si>
  <si>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</si>
  <si>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</si>
  <si>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</si>
  <si>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</si>
  <si>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</si>
  <si>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</si>
  <si>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</si>
  <si>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</si>
  <si>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</si>
  <si>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</si>
  <si>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</si>
  <si>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</si>
  <si>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</si>
  <si>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</si>
  <si>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</si>
  <si>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</si>
  <si>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</si>
  <si>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</si>
  <si>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</si>
  <si>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</si>
  <si>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</si>
  <si>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</si>
  <si>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</si>
  <si>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</si>
  <si>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</si>
  <si>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</si>
  <si>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</si>
  <si>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</si>
  <si>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</si>
  <si>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</si>
  <si>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</si>
  <si>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</si>
  <si>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</si>
  <si>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</si>
  <si>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</si>
  <si>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</si>
  <si>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</si>
  <si>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</si>
  <si>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</si>
  <si>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</si>
  <si>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</si>
  <si>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</si>
  <si>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</si>
  <si>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</si>
  <si>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Marktgemeinde Kirchseeon</t>
  </si>
  <si>
    <t>Stand: 15.02.2023</t>
  </si>
  <si>
    <t>Die Marktgemeinde Kirchseeon setzt sich folgende Ziele: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</si>
  <si>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</si>
  <si>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Heizwärmeversorgung.</t>
  </si>
  <si>
    <t>Buch</t>
  </si>
  <si>
    <t>Eglharting</t>
  </si>
  <si>
    <t>Forstseeon</t>
  </si>
  <si>
    <t>Kirchseeon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</si>
</sst>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3" fontId="33" fillId="11" borderId="13" xfId="9" applyFont="1" applyFill="1" applyBorder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 wrapText="1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3" fontId="34" fillId="2" borderId="13" xfId="0" applyNumberFormat="1" applyFont="1" applyFill="1" applyBorder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3" fontId="23" fillId="9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0" fontId="33" fillId="0" borderId="0" xfId="0" applyFont="1" applyAlignment="1">
      <alignment horizontal="right" vertical="center"/>
    </xf>
    <xf numFmtId="168" fontId="20" fillId="0" borderId="0" xfId="0" applyNumberFormat="1" applyFont="1" applyAlignment="1">
      <alignment horizontal="left" vertical="center" indent="3"/>
    </xf>
    <xf numFmtId="166" fontId="20" fillId="16" borderId="0" xfId="0" applyNumberFormat="1" applyFont="1" applyFill="1" applyAlignment="1">
      <alignment horizontal="left" vertical="center" indent="3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171" fontId="20" fillId="16" borderId="0" xfId="0" applyNumberFormat="1" applyFont="1" applyFill="1" applyAlignment="1">
      <alignment horizontal="left" vertical="center" indent="3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9" fontId="9" fillId="18" borderId="0" xfId="3" applyFill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52418.04</c:v>
                </c:pt>
                <c:pt idx="1">
                  <c:v>47006.883952107106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47505.41</c:v>
                </c:pt>
                <c:pt idx="1">
                  <c:v>63668.449017715866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2350.08</c:v>
                </c:pt>
                <c:pt idx="1">
                  <c:v>2475.2798501321022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11785</c:v>
                </c:pt>
                <c:pt idx="1">
                  <c:v>22630.122563991019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90489</c:v>
                </c:pt>
                <c:pt idx="1">
                  <c:v>90520.490255964076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102274</c:v>
                </c:pt>
                <c:pt idx="1">
                  <c:v>113150.61281995509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12723.15</c:v>
                </c:pt>
                <c:pt idx="1">
                  <c:v>9931.478873357386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13516.849999999999</c:v>
                </c:pt>
                <c:pt idx="1">
                  <c:v>15161.945491225588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843.47</c:v>
                </c:pt>
                <c:pt idx="1">
                  <c:v>577.3933388383665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18198.280373831774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3083</c:v>
                </c:pt>
                <c:pt idx="1">
                  <c:v>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33863.230000000003</c:v>
                </c:pt>
                <c:pt idx="1">
                  <c:v>40786.098077253118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36946.230000000003</c:v>
                </c:pt>
                <c:pt idx="1">
                  <c:v>43869.098077253118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#,##0\ "t/a"</c:formatCode>
                <c:ptCount val="1"/>
                <c:pt idx="0">
                  <c:v>8157.2196154506237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#,##0\ "t/a"</c:formatCode>
                <c:ptCount val="1"/>
                <c:pt idx="0">
                  <c:v>21724.91766143138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#,##0\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,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tabSelected="1" zoomScale="108" zoomScaleNormal="108" workbookViewId="0"/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139</v>
      </c>
      <c r="C3" s="194"/>
    </row>
    <row r="4" spans="2:4" ht="25.5" customHeight="1" x14ac:dyDescent="0.2">
      <c r="B4" s="147" t="s">
        <v>87</v>
      </c>
      <c r="C4" s="148" t="s">
        <v>130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88</v>
      </c>
      <c r="C6" s="152" t="s">
        <v>133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89</v>
      </c>
      <c r="C8" s="152" t="s">
        <v>131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164</v>
      </c>
      <c r="C10" s="149" t="s">
        <v>163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92</v>
      </c>
      <c r="C12" s="149" t="s">
        <v>132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90</v>
      </c>
      <c r="C14" s="152" t="s">
        <v>129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91</v>
      </c>
      <c r="C16" s="149" t="s">
        <v>128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zoomScaleNormal="100" workbookViewId="0">
      <selection activeCell="J34" sqref="J34:K3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ht="24" customHeight="1" x14ac:dyDescent="0.2">
      <c r="A4" s="226" t="s">
        <v>46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2" ht="24" customHeight="1" x14ac:dyDescent="0.35">
      <c r="A5" s="22"/>
      <c r="F5" s="223"/>
      <c r="G5" s="223"/>
      <c r="H5" s="223"/>
      <c r="K5" s="1"/>
      <c r="L5" s="22"/>
    </row>
    <row r="6" spans="1:12" ht="24" customHeight="1" x14ac:dyDescent="0.2">
      <c r="A6" s="22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2"/>
    </row>
    <row r="7" spans="1:12" ht="24" customHeight="1" x14ac:dyDescent="0.2">
      <c r="A7" s="22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2"/>
    </row>
    <row r="8" spans="1:12" ht="69.75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10"/>
    </row>
    <row r="13" spans="1:12" ht="18" customHeight="1" x14ac:dyDescent="0.2">
      <c r="A13" s="10"/>
      <c r="B13" s="10"/>
      <c r="D13" s="228" t="str">
        <f>"Prognostizierte Wärmenachfrage für das Jahr "&amp;'Basis-Annahmen'!E5&amp;":"</f>
        <v>Prognostizierte Wärmenachfrage für das Jahr 2040:</v>
      </c>
      <c r="E13" s="228"/>
      <c r="F13" s="228"/>
      <c r="G13" s="228"/>
      <c r="H13" s="228"/>
      <c r="I13" s="229" t="str">
        <f>""&amp;FIXED(E82,0,FALSE)&amp;" MWh/a"</f>
        <v>113.151 MWh/a</v>
      </c>
      <c r="J13" s="229"/>
      <c r="K13" s="229"/>
      <c r="L13" s="10"/>
    </row>
    <row r="14" spans="1:12" ht="18" customHeight="1" x14ac:dyDescent="0.2">
      <c r="A14" s="10"/>
      <c r="B14" s="10"/>
      <c r="D14" s="228" t="s">
        <v>180</v>
      </c>
      <c r="E14" s="228"/>
      <c r="F14" s="228"/>
      <c r="G14" s="228"/>
      <c r="H14" s="228"/>
      <c r="I14" s="229" t="str">
        <f>""&amp;FIXED(D82,0,FALSE)&amp;" MWh/a"</f>
        <v>102.274 MWh/a</v>
      </c>
      <c r="J14" s="229"/>
      <c r="K14" s="229"/>
      <c r="L14" s="10"/>
    </row>
    <row r="15" spans="1:12" ht="18" customHeight="1" x14ac:dyDescent="0.2">
      <c r="B15" s="10"/>
      <c r="D15" s="228" t="str">
        <f>"Zunahme der Wärmenachfrage bis "&amp;'Basis-Annahmen'!E5&amp;":"</f>
        <v>Zunahme der Wärmenachfrage bis 2040:</v>
      </c>
      <c r="E15" s="228"/>
      <c r="F15" s="228"/>
      <c r="G15" s="228"/>
      <c r="H15" s="228"/>
      <c r="I15" s="230" t="str">
        <f>""&amp;FIXED(E84*100,0,TRUE)&amp;" %"</f>
        <v>11 %</v>
      </c>
      <c r="J15" s="230"/>
      <c r="K15" s="230"/>
      <c r="L15" s="10"/>
    </row>
    <row r="16" spans="1:12" ht="30.75" customHeight="1" x14ac:dyDescent="0.2">
      <c r="A16" s="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10"/>
    </row>
    <row r="17" spans="1:12" ht="25.5" customHeight="1" x14ac:dyDescent="0.2">
      <c r="A17" s="215" t="s">
        <v>42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10"/>
    </row>
    <row r="18" spans="1:12" ht="42.75" customHeight="1" x14ac:dyDescent="0.2"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12"/>
    </row>
    <row r="19" spans="1:12" ht="31.5" customHeight="1" x14ac:dyDescent="0.2">
      <c r="B19" s="217" t="s">
        <v>43</v>
      </c>
      <c r="C19" s="217"/>
      <c r="D19" s="217"/>
      <c r="E19" s="217"/>
      <c r="F19" s="217"/>
      <c r="G19" s="217"/>
      <c r="H19" s="217"/>
      <c r="I19" s="217"/>
      <c r="J19" s="217"/>
      <c r="K19" s="217"/>
      <c r="L19" s="12"/>
    </row>
    <row r="20" spans="1:12" ht="24.75" customHeight="1" x14ac:dyDescent="0.2">
      <c r="B20" s="217" t="s">
        <v>191</v>
      </c>
      <c r="C20" s="217"/>
      <c r="D20" s="217"/>
      <c r="E20" s="217"/>
      <c r="F20" s="217"/>
      <c r="G20" s="217"/>
      <c r="H20" s="217"/>
      <c r="I20" s="217"/>
      <c r="J20" s="217"/>
      <c r="K20" s="217"/>
      <c r="L20" s="12"/>
    </row>
    <row r="21" spans="1:12" ht="23.25" customHeight="1" x14ac:dyDescent="0.2">
      <c r="B21" s="211"/>
      <c r="C21" s="211"/>
      <c r="D21" s="211"/>
      <c r="E21" s="211"/>
      <c r="F21" s="160">
        <v>2025</v>
      </c>
      <c r="G21" s="160">
        <v>2030</v>
      </c>
      <c r="H21" s="160">
        <v>2035</v>
      </c>
      <c r="I21" s="219">
        <v>2040</v>
      </c>
      <c r="J21" s="220"/>
      <c r="K21" s="11"/>
      <c r="L21" s="12"/>
    </row>
    <row r="22" spans="1:12" ht="49.5" customHeight="1" x14ac:dyDescent="0.2">
      <c r="B22" s="218" t="s">
        <v>184</v>
      </c>
      <c r="C22" s="218"/>
      <c r="D22" s="218"/>
      <c r="E22" s="218"/>
      <c r="F22" s="161">
        <v>0.01</v>
      </c>
      <c r="G22" s="161">
        <v>0.01</v>
      </c>
      <c r="H22" s="161">
        <v>0.01</v>
      </c>
      <c r="I22" s="221">
        <v>0.01</v>
      </c>
      <c r="J22" s="222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15" t="s">
        <v>45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2" ht="5.25" customHeight="1" x14ac:dyDescent="0.2">
      <c r="A25" s="13"/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2" ht="65.25" customHeight="1" x14ac:dyDescent="0.2">
      <c r="B26" s="217" t="s">
        <v>193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12"/>
    </row>
    <row r="27" spans="1:12" ht="17.25" customHeight="1" x14ac:dyDescent="0.2">
      <c r="B27" s="212" t="s">
        <v>191</v>
      </c>
      <c r="C27" s="212"/>
      <c r="D27" s="212"/>
      <c r="E27" s="212"/>
      <c r="F27" s="212"/>
      <c r="G27" s="212"/>
      <c r="H27" s="212"/>
      <c r="I27" s="212"/>
      <c r="J27" s="212"/>
      <c r="K27" s="212"/>
      <c r="L27" s="12"/>
    </row>
    <row r="28" spans="1:12" ht="25.5" customHeight="1" x14ac:dyDescent="0.2">
      <c r="A28" s="14"/>
      <c r="B28" s="213" t="str">
        <f>"Ausbauziel Wärmeerzeugung bis zum Jahr "&amp;'Basis-Annahmen'!E5</f>
        <v>Ausbauziel Wärmeerzeugung bis zum Jahr 2040</v>
      </c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2" ht="34.5" customHeight="1" x14ac:dyDescent="0.2">
      <c r="A29" s="14"/>
      <c r="B29" s="196" t="s">
        <v>29</v>
      </c>
      <c r="C29" s="196"/>
      <c r="D29" s="196"/>
      <c r="E29" s="196"/>
      <c r="F29" s="214" t="s">
        <v>77</v>
      </c>
      <c r="G29" s="214"/>
      <c r="H29" s="195" t="s">
        <v>78</v>
      </c>
      <c r="I29" s="195"/>
      <c r="J29" s="214" t="s">
        <v>82</v>
      </c>
      <c r="K29" s="214"/>
    </row>
    <row r="30" spans="1:12" ht="21.6" customHeight="1" x14ac:dyDescent="0.2">
      <c r="A30" s="14"/>
      <c r="B30" s="204" t="s">
        <v>75</v>
      </c>
      <c r="C30" s="204"/>
      <c r="D30" s="204"/>
      <c r="E30" s="204"/>
      <c r="F30" s="200">
        <v>0</v>
      </c>
      <c r="G30" s="200"/>
      <c r="H30" s="202" t="s">
        <v>144</v>
      </c>
      <c r="I30" s="202"/>
      <c r="J30" s="201">
        <f>F30*E82</f>
        <v>0</v>
      </c>
      <c r="K30" s="201"/>
    </row>
    <row r="31" spans="1:12" ht="21.6" customHeight="1" x14ac:dyDescent="0.2">
      <c r="A31" s="14"/>
      <c r="B31" s="197" t="s">
        <v>153</v>
      </c>
      <c r="C31" s="198"/>
      <c r="D31" s="198"/>
      <c r="E31" s="198"/>
      <c r="F31" s="198"/>
      <c r="G31" s="199"/>
      <c r="H31" s="203">
        <v>0</v>
      </c>
      <c r="I31" s="203"/>
      <c r="J31" s="205">
        <f>J30*H31</f>
        <v>0</v>
      </c>
      <c r="K31" s="205"/>
    </row>
    <row r="32" spans="1:12" ht="21.6" customHeight="1" x14ac:dyDescent="0.2">
      <c r="A32" s="14"/>
      <c r="B32" s="204" t="s">
        <v>76</v>
      </c>
      <c r="C32" s="204"/>
      <c r="D32" s="204"/>
      <c r="E32" s="204"/>
      <c r="F32" s="206">
        <f>100%-F30</f>
        <v>1</v>
      </c>
      <c r="G32" s="206"/>
      <c r="H32" s="207"/>
      <c r="I32" s="207"/>
      <c r="J32" s="201">
        <f>F32*E82</f>
        <v>113150.61281995509</v>
      </c>
      <c r="K32" s="201"/>
    </row>
    <row r="33" spans="1:12" ht="21.6" customHeight="1" x14ac:dyDescent="0.2">
      <c r="A33" s="14"/>
      <c r="B33" s="197" t="s">
        <v>151</v>
      </c>
      <c r="C33" s="198"/>
      <c r="D33" s="198"/>
      <c r="E33" s="198"/>
      <c r="F33" s="198"/>
      <c r="G33" s="199"/>
      <c r="H33" s="203">
        <v>0</v>
      </c>
      <c r="I33" s="203"/>
      <c r="J33" s="205">
        <f>$J$32*H33</f>
        <v>0</v>
      </c>
      <c r="K33" s="205"/>
    </row>
    <row r="34" spans="1:12" ht="21.6" customHeight="1" x14ac:dyDescent="0.2">
      <c r="A34" s="14"/>
      <c r="B34" s="236" t="s">
        <v>152</v>
      </c>
      <c r="C34" s="237"/>
      <c r="D34" s="237"/>
      <c r="E34" s="237"/>
      <c r="F34" s="237"/>
      <c r="G34" s="238"/>
      <c r="H34" s="203">
        <v>0</v>
      </c>
      <c r="I34" s="203"/>
      <c r="J34" s="205">
        <f>$J$32*H34</f>
        <v>0</v>
      </c>
      <c r="K34" s="205"/>
    </row>
    <row r="35" spans="1:12" ht="21.6" customHeight="1" x14ac:dyDescent="0.2">
      <c r="A35" s="14"/>
      <c r="B35" s="236" t="s">
        <v>154</v>
      </c>
      <c r="C35" s="237"/>
      <c r="D35" s="237"/>
      <c r="E35" s="237"/>
      <c r="F35" s="237"/>
      <c r="G35" s="238"/>
      <c r="H35" s="203">
        <v>0.1</v>
      </c>
      <c r="I35" s="203"/>
      <c r="J35" s="205">
        <f t="shared" ref="J35" si="0">$J$32*H35</f>
        <v>11315.061281995509</v>
      </c>
      <c r="K35" s="205"/>
    </row>
    <row r="36" spans="1:12" ht="21" customHeight="1" x14ac:dyDescent="0.2">
      <c r="A36" s="14"/>
      <c r="B36" s="236" t="s">
        <v>155</v>
      </c>
      <c r="C36" s="237"/>
      <c r="D36" s="237"/>
      <c r="E36" s="237"/>
      <c r="F36" s="237"/>
      <c r="G36" s="238"/>
      <c r="H36" s="203">
        <v>0.1</v>
      </c>
      <c r="I36" s="203"/>
      <c r="J36" s="205">
        <f t="shared" ref="J36" si="1">$J$32*H36</f>
        <v>11315.061281995509</v>
      </c>
      <c r="K36" s="205"/>
    </row>
    <row r="37" spans="1:12" ht="21.6" customHeight="1" x14ac:dyDescent="0.2">
      <c r="A37" s="14"/>
      <c r="B37" s="236" t="s">
        <v>182</v>
      </c>
      <c r="C37" s="237"/>
      <c r="D37" s="237"/>
      <c r="E37" s="237"/>
      <c r="F37" s="237"/>
      <c r="G37" s="238"/>
      <c r="H37" s="241">
        <f>100%-(H33+H34+H35+H36)</f>
        <v>0.8</v>
      </c>
      <c r="I37" s="242"/>
      <c r="J37" s="243">
        <f>$J$32*H37</f>
        <v>90520.490255964076</v>
      </c>
      <c r="K37" s="244"/>
    </row>
    <row r="38" spans="1:12" ht="44.25" customHeight="1" x14ac:dyDescent="0.2">
      <c r="B38" s="217" t="str">
        <f>"Bei erfolgreicher Umsetzung dieser Zielsetzung ergäbe sich für die Marktgemeinde folgende Deckung der Wärmenachfrage für das Jahr "&amp;'Basis-Annahmen'!E5&amp;":"</f>
        <v>Bei erfolgreicher Umsetzung dieser Zielsetzung ergäbe sich für die Marktgemeinde folgende Deckung der Wärmenachfrage für das Jahr 2040:</v>
      </c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2" s="14" customFormat="1" ht="24" customHeight="1" x14ac:dyDescent="0.2">
      <c r="B39" s="240" t="s">
        <v>80</v>
      </c>
      <c r="C39" s="240"/>
      <c r="D39" s="240"/>
      <c r="E39" s="240"/>
      <c r="F39" s="240"/>
      <c r="G39" s="239" t="s">
        <v>79</v>
      </c>
      <c r="H39" s="239"/>
      <c r="I39" s="239" t="s">
        <v>73</v>
      </c>
      <c r="J39" s="239"/>
      <c r="K39" s="239"/>
    </row>
    <row r="40" spans="1:12" s="14" customFormat="1" ht="21" customHeight="1" x14ac:dyDescent="0.2">
      <c r="B40" s="235" t="s">
        <v>54</v>
      </c>
      <c r="C40" s="235"/>
      <c r="D40" s="235"/>
      <c r="E40" s="235"/>
      <c r="F40" s="235"/>
      <c r="G40" s="232">
        <f>F30*H31+F32*SUM(H33:I36)</f>
        <v>0.2</v>
      </c>
      <c r="H40" s="232"/>
      <c r="I40" s="205">
        <f>G40*E82</f>
        <v>22630.122563991019</v>
      </c>
      <c r="J40" s="205"/>
      <c r="K40" s="205"/>
    </row>
    <row r="41" spans="1:12" s="14" customFormat="1" ht="21" customHeight="1" x14ac:dyDescent="0.2">
      <c r="B41" s="235" t="s">
        <v>74</v>
      </c>
      <c r="C41" s="235"/>
      <c r="D41" s="235"/>
      <c r="E41" s="235"/>
      <c r="F41" s="235"/>
      <c r="G41" s="232">
        <f>1-G40</f>
        <v>0.8</v>
      </c>
      <c r="H41" s="232"/>
      <c r="I41" s="205">
        <f>G41*E82</f>
        <v>90520.490255964076</v>
      </c>
      <c r="J41" s="205"/>
      <c r="K41" s="205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17" t="s">
        <v>181</v>
      </c>
      <c r="C52" s="217"/>
      <c r="D52" s="217"/>
      <c r="E52" s="217"/>
      <c r="F52" s="217"/>
      <c r="G52" s="217"/>
      <c r="H52" s="217"/>
      <c r="I52" s="217"/>
      <c r="J52" s="217"/>
      <c r="K52" s="217"/>
    </row>
    <row r="53" spans="1:12" ht="42" customHeight="1" x14ac:dyDescent="0.2">
      <c r="B53" s="217" t="s">
        <v>41</v>
      </c>
      <c r="C53" s="217"/>
      <c r="D53" s="217"/>
      <c r="E53" s="217"/>
      <c r="F53" s="217"/>
      <c r="G53" s="217"/>
      <c r="H53" s="217"/>
      <c r="I53" s="217"/>
      <c r="J53" s="217"/>
      <c r="K53" s="217"/>
    </row>
    <row r="54" spans="1:12" ht="18" x14ac:dyDescent="0.2">
      <c r="A54" s="233" t="s">
        <v>39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</row>
    <row r="55" spans="1:12" x14ac:dyDescent="0.2">
      <c r="K55" s="1"/>
    </row>
    <row r="56" spans="1:12" ht="49.5" customHeight="1" x14ac:dyDescent="0.2">
      <c r="A56" s="234" t="s">
        <v>40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</row>
    <row r="57" spans="1:12" ht="80.25" customHeight="1" x14ac:dyDescent="0.2">
      <c r="B57" s="231" t="s">
        <v>178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231" t="s">
        <v>170</v>
      </c>
      <c r="C60" s="231"/>
      <c r="D60" s="231"/>
      <c r="E60" s="231"/>
      <c r="F60" s="231"/>
      <c r="G60" s="231"/>
      <c r="H60" s="29"/>
      <c r="I60" s="18" t="s">
        <v>35</v>
      </c>
      <c r="J60" s="17"/>
      <c r="K60" s="17"/>
    </row>
    <row r="61" spans="1:12" ht="17.100000000000001" customHeight="1" x14ac:dyDescent="0.2">
      <c r="B61" s="231" t="s">
        <v>172</v>
      </c>
      <c r="C61" s="231"/>
      <c r="D61" s="231"/>
      <c r="E61" s="231"/>
      <c r="F61" s="231"/>
      <c r="G61" s="231"/>
      <c r="H61" s="29"/>
      <c r="I61" s="18" t="s">
        <v>36</v>
      </c>
      <c r="J61" s="17"/>
      <c r="K61" s="17"/>
    </row>
    <row r="62" spans="1:12" ht="17.100000000000001" customHeight="1" x14ac:dyDescent="0.2">
      <c r="B62" s="231" t="s">
        <v>171</v>
      </c>
      <c r="C62" s="231"/>
      <c r="D62" s="231"/>
      <c r="E62" s="231"/>
      <c r="F62" s="231"/>
      <c r="G62" s="231"/>
      <c r="H62" s="29"/>
      <c r="I62" s="18" t="s">
        <v>37</v>
      </c>
      <c r="J62" s="17"/>
      <c r="K62" s="17"/>
    </row>
    <row r="63" spans="1:12" ht="17.100000000000001" customHeight="1" x14ac:dyDescent="0.2">
      <c r="B63" s="231" t="s">
        <v>173</v>
      </c>
      <c r="C63" s="231"/>
      <c r="D63" s="231"/>
      <c r="E63" s="231"/>
      <c r="F63" s="231"/>
      <c r="G63" s="231"/>
      <c r="H63" s="30"/>
      <c r="I63" s="31" t="s">
        <v>38</v>
      </c>
      <c r="J63" s="19"/>
      <c r="K63" s="19"/>
    </row>
    <row r="64" spans="1:12" ht="17.100000000000001" customHeight="1" x14ac:dyDescent="0.2">
      <c r="B64" s="231" t="s">
        <v>174</v>
      </c>
      <c r="C64" s="231"/>
      <c r="D64" s="231"/>
      <c r="E64" s="231"/>
      <c r="F64" s="231"/>
      <c r="G64" s="231"/>
      <c r="H64" s="30"/>
      <c r="J64" s="19"/>
      <c r="K64" s="19"/>
    </row>
    <row r="65" spans="1:12" ht="17.100000000000001" customHeight="1" x14ac:dyDescent="0.2">
      <c r="B65" s="231" t="s">
        <v>175</v>
      </c>
      <c r="C65" s="231"/>
      <c r="D65" s="231"/>
      <c r="E65" s="231"/>
      <c r="F65" s="231"/>
      <c r="G65" s="231"/>
      <c r="H65" s="30"/>
      <c r="I65" s="20"/>
      <c r="J65" s="19"/>
      <c r="K65" s="19"/>
    </row>
    <row r="66" spans="1:12" ht="17.100000000000001" customHeight="1" x14ac:dyDescent="0.2">
      <c r="B66" s="231" t="s">
        <v>176</v>
      </c>
      <c r="C66" s="231"/>
      <c r="D66" s="231"/>
      <c r="E66" s="231"/>
      <c r="F66" s="231"/>
      <c r="G66" s="231"/>
      <c r="H66" s="30"/>
      <c r="I66" s="17"/>
      <c r="J66" s="19"/>
      <c r="K66" s="19"/>
    </row>
    <row r="67" spans="1:12" ht="17.100000000000001" customHeight="1" x14ac:dyDescent="0.2">
      <c r="B67" s="231" t="s">
        <v>177</v>
      </c>
      <c r="C67" s="231"/>
      <c r="D67" s="231"/>
      <c r="E67" s="231"/>
      <c r="F67" s="231"/>
      <c r="G67" s="231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52418.04</v>
      </c>
      <c r="E78" s="177">
        <f>LOOKUP('Basis-Annahmen'!E5,'Nachfrage &amp; Erzeugung'!D36:G36,'Nachfrage &amp; Erzeugung'!D38:G38)</f>
        <v>47006.883952107106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47505.41</v>
      </c>
      <c r="E79" s="177">
        <f>LOOKUP('Basis-Annahmen'!E5,'Nachfrage &amp; Erzeugung'!D36:G36,'Nachfrage &amp; Erzeugung'!D39:G39)</f>
        <v>63668.449017715866</v>
      </c>
      <c r="F79" s="175"/>
      <c r="G79" s="176" t="s">
        <v>54</v>
      </c>
      <c r="H79" s="177">
        <f>'Nachfrage &amp; Erzeugung'!C46</f>
        <v>11785</v>
      </c>
      <c r="I79" s="177">
        <f>I40</f>
        <v>22630.122563991019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2350.08</v>
      </c>
      <c r="E80" s="177">
        <f>LOOKUP('Basis-Annahmen'!E5,'Nachfrage &amp; Erzeugung'!D36:G36,'Nachfrage &amp; Erzeugung'!D40:G40)</f>
        <v>2475.2798501321022</v>
      </c>
      <c r="F80" s="175"/>
      <c r="G80" s="176" t="str">
        <f>'Nachfrage &amp; Erzeugung'!B47</f>
        <v>Nicht erneuerbare Wärmeerzeugung</v>
      </c>
      <c r="H80" s="177">
        <f>MAX(0,H82-H79)</f>
        <v>90489</v>
      </c>
      <c r="I80" s="177">
        <f>MAX(0,I82-I79)</f>
        <v>90520.490255964076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66</v>
      </c>
      <c r="D82" s="177">
        <f>'Nachfrage &amp; Erzeugung'!C37</f>
        <v>102274</v>
      </c>
      <c r="E82" s="177">
        <f>LOOKUP('Basis-Annahmen'!E5,'Nachfrage &amp; Erzeugung'!D36:G36,'Nachfrage &amp; Erzeugung'!D37:G37)</f>
        <v>113150.61281995509</v>
      </c>
      <c r="F82" s="175"/>
      <c r="G82" s="176" t="s">
        <v>81</v>
      </c>
      <c r="H82" s="177">
        <f>'Nachfrage &amp; Erzeugung'!C37</f>
        <v>102274</v>
      </c>
      <c r="I82" s="177">
        <f>LOOKUP('Basis-Annahmen'!E5,'Nachfrage &amp; Erzeugung'!D36:G36,'Nachfrage &amp; Erzeugung'!D37:G37)</f>
        <v>113150.61281995509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104</v>
      </c>
      <c r="D84" s="175"/>
      <c r="E84" s="178">
        <f>(E82-D82)/D82</f>
        <v>0.10634777968941361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63:G63"/>
    <mergeCell ref="B64:G64"/>
    <mergeCell ref="B67:G67"/>
    <mergeCell ref="B65:G65"/>
    <mergeCell ref="B66:G66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47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4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6"/>
    </row>
    <row r="3" spans="1:14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6"/>
    </row>
    <row r="4" spans="1:14" ht="24" customHeight="1" x14ac:dyDescent="0.2">
      <c r="A4" s="226" t="s">
        <v>31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2"/>
      <c r="M7" s="6"/>
      <c r="N7" s="6"/>
    </row>
    <row r="8" spans="1:14" ht="69.75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28" t="str">
        <f>"Prognostizierte Gesamtstromnachfrage in "&amp;'Basis-Annahmen'!E5&amp;":"</f>
        <v>Prognostizierte Gesamtstromnachfrage in 2040:</v>
      </c>
      <c r="E13" s="228"/>
      <c r="F13" s="228"/>
      <c r="G13" s="228"/>
      <c r="H13" s="228"/>
      <c r="I13" s="229" t="str">
        <f>FIXED(E82,0)&amp;" MWh/a"</f>
        <v>43.869 MWh/a</v>
      </c>
      <c r="J13" s="229"/>
      <c r="K13" s="229"/>
      <c r="L13" s="10"/>
    </row>
    <row r="14" spans="1:14" ht="18" customHeight="1" x14ac:dyDescent="0.2">
      <c r="A14" s="10"/>
      <c r="B14" s="10"/>
      <c r="D14" s="228" t="str">
        <f>"Zunahme der Stromnachfrage von 2020 bis "&amp;'Basis-Annahmen'!E5&amp;":"</f>
        <v>Zunahme der Stromnachfrage von 2020 bis 2040:</v>
      </c>
      <c r="E14" s="228"/>
      <c r="F14" s="228"/>
      <c r="G14" s="228"/>
      <c r="H14" s="228"/>
      <c r="I14" s="229" t="str">
        <f>""&amp;FIXED(E83*100,0)&amp;" %"</f>
        <v>19 %</v>
      </c>
      <c r="J14" s="229"/>
      <c r="K14" s="229"/>
      <c r="L14" s="10"/>
    </row>
    <row r="15" spans="1:14" ht="18" customHeight="1" x14ac:dyDescent="0.2">
      <c r="B15" s="10"/>
      <c r="D15" s="228" t="str">
        <f>"Anteil der Mobilität an der Stromnachfrage in "&amp;'Basis-Annahmen'!E5&amp;":"</f>
        <v>Anteil der Mobilität an der Stromnachfrage in 2040:</v>
      </c>
      <c r="E15" s="228"/>
      <c r="F15" s="228"/>
      <c r="G15" s="228"/>
      <c r="H15" s="228"/>
      <c r="I15" s="230" t="str">
        <f>""&amp;FIXED(E84*100,0,FALSE)&amp;" %"</f>
        <v>41 %</v>
      </c>
      <c r="J15" s="230"/>
      <c r="K15" s="230"/>
      <c r="L15" s="10"/>
    </row>
    <row r="16" spans="1:14" ht="18" customHeight="1" x14ac:dyDescent="0.2">
      <c r="A16" s="10"/>
      <c r="B16" s="10"/>
      <c r="D16" s="228" t="str">
        <f>"Anteil der Wärme an der Stromnachfrage in "&amp;'Basis-Annahmen'!E5&amp;":"</f>
        <v>Anteil der Wärme an der Stromnachfrage in 2040:</v>
      </c>
      <c r="E16" s="228"/>
      <c r="F16" s="228"/>
      <c r="G16" s="228"/>
      <c r="H16" s="228"/>
      <c r="I16" s="230" t="str">
        <f>""&amp;FIXED(E85*100,0,FALSE)&amp;" %"</f>
        <v>0 %</v>
      </c>
      <c r="J16" s="230"/>
      <c r="K16" s="230"/>
      <c r="L16" s="10"/>
    </row>
    <row r="17" spans="1:22" ht="30.75" customHeight="1" x14ac:dyDescent="0.2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</row>
    <row r="18" spans="1:22" ht="25.5" customHeight="1" x14ac:dyDescent="0.2">
      <c r="A18" s="215" t="s">
        <v>42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10"/>
    </row>
    <row r="19" spans="1:22" ht="42.75" customHeight="1" x14ac:dyDescent="0.2">
      <c r="B19" s="217" t="s">
        <v>44</v>
      </c>
      <c r="C19" s="217"/>
      <c r="D19" s="217"/>
      <c r="E19" s="217"/>
      <c r="F19" s="217"/>
      <c r="G19" s="217"/>
      <c r="H19" s="217"/>
      <c r="I19" s="217"/>
      <c r="J19" s="217"/>
      <c r="K19" s="217"/>
      <c r="L19" s="12"/>
    </row>
    <row r="20" spans="1:22" ht="60" customHeight="1" x14ac:dyDescent="0.2">
      <c r="B20" s="217" t="s">
        <v>105</v>
      </c>
      <c r="C20" s="217"/>
      <c r="D20" s="217"/>
      <c r="E20" s="217"/>
      <c r="F20" s="217"/>
      <c r="G20" s="217"/>
      <c r="H20" s="217"/>
      <c r="I20" s="217"/>
      <c r="J20" s="217"/>
      <c r="K20" s="217"/>
      <c r="L20" s="12"/>
    </row>
    <row r="21" spans="1:22" ht="31.5" customHeight="1" x14ac:dyDescent="0.2">
      <c r="B21" s="217" t="s">
        <v>43</v>
      </c>
      <c r="C21" s="217"/>
      <c r="D21" s="217"/>
      <c r="E21" s="217"/>
      <c r="F21" s="217"/>
      <c r="G21" s="217"/>
      <c r="H21" s="217"/>
      <c r="I21" s="217"/>
      <c r="J21" s="217"/>
      <c r="K21" s="217"/>
      <c r="L21" s="12"/>
    </row>
    <row r="22" spans="1:22" ht="35.25" customHeight="1" x14ac:dyDescent="0.2">
      <c r="A22" s="215" t="s">
        <v>45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</row>
    <row r="23" spans="1:22" ht="51" customHeight="1" x14ac:dyDescent="0.2">
      <c r="B23" s="217" t="s">
        <v>192</v>
      </c>
      <c r="C23" s="217"/>
      <c r="D23" s="217"/>
      <c r="E23" s="217"/>
      <c r="F23" s="217"/>
      <c r="G23" s="217"/>
      <c r="H23" s="217"/>
      <c r="I23" s="217"/>
      <c r="J23" s="217"/>
      <c r="K23" s="217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12" t="s">
        <v>191</v>
      </c>
      <c r="C24" s="212"/>
      <c r="D24" s="212"/>
      <c r="E24" s="212"/>
      <c r="F24" s="212"/>
      <c r="G24" s="212"/>
      <c r="H24" s="212"/>
      <c r="I24" s="212"/>
      <c r="J24" s="212"/>
      <c r="K24" s="212"/>
      <c r="L24" s="12"/>
    </row>
    <row r="25" spans="1:22" ht="31.5" customHeight="1" x14ac:dyDescent="0.2">
      <c r="A25" s="14"/>
      <c r="B25" s="213" t="str">
        <f>"Ausbauziel erneuerbare Stromerzeugung bis zum Jahr "&amp;'Basis-Annahmen'!E5</f>
        <v>Ausbauziel erneuerbare Stromerzeugung bis zum Jahr 2040</v>
      </c>
      <c r="C25" s="213"/>
      <c r="D25" s="213"/>
      <c r="E25" s="213"/>
      <c r="F25" s="213"/>
      <c r="G25" s="213"/>
      <c r="H25" s="213"/>
      <c r="I25" s="213"/>
      <c r="J25" s="213"/>
      <c r="K25" s="213"/>
    </row>
    <row r="26" spans="1:22" ht="30" customHeight="1" x14ac:dyDescent="0.2">
      <c r="A26" s="14"/>
      <c r="B26" s="254" t="s">
        <v>29</v>
      </c>
      <c r="C26" s="254"/>
      <c r="D26" s="156" t="s">
        <v>18</v>
      </c>
      <c r="E26" s="156" t="s">
        <v>83</v>
      </c>
      <c r="F26" s="253" t="s">
        <v>85</v>
      </c>
      <c r="G26" s="253"/>
      <c r="H26" s="255" t="s">
        <v>86</v>
      </c>
      <c r="I26" s="255"/>
      <c r="J26" s="255" t="s">
        <v>84</v>
      </c>
      <c r="K26" s="255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1">
        <f>Potenzial!D11*Ausbauziel_Strom!D27</f>
        <v>0</v>
      </c>
      <c r="G27" s="251"/>
      <c r="H27" s="247">
        <f>Potenzial!D9</f>
        <v>72000</v>
      </c>
      <c r="I27" s="247"/>
      <c r="J27" s="248">
        <f>IF(H27&gt;0,F27/H27,0)</f>
        <v>0</v>
      </c>
      <c r="K27" s="248"/>
    </row>
    <row r="28" spans="1:22" ht="27.95" customHeight="1" x14ac:dyDescent="0.2">
      <c r="A28" s="14"/>
      <c r="B28" s="246" t="s">
        <v>122</v>
      </c>
      <c r="C28" s="246"/>
      <c r="D28" s="181"/>
      <c r="E28" s="158" t="s">
        <v>121</v>
      </c>
      <c r="F28" s="251">
        <f>D28*Potenzial!D18</f>
        <v>0</v>
      </c>
      <c r="G28" s="251"/>
      <c r="H28" s="247">
        <f>Potenzial!D14</f>
        <v>31363.949999999997</v>
      </c>
      <c r="I28" s="247"/>
      <c r="J28" s="248">
        <f t="shared" ref="J28:J29" si="0">IF(H28&gt;0,F28/H28,0)</f>
        <v>0</v>
      </c>
      <c r="K28" s="248"/>
    </row>
    <row r="29" spans="1:22" ht="27.95" customHeight="1" x14ac:dyDescent="0.2">
      <c r="A29" s="14"/>
      <c r="B29" s="249" t="s">
        <v>123</v>
      </c>
      <c r="C29" s="249"/>
      <c r="D29" s="181"/>
      <c r="E29" s="157" t="s">
        <v>10</v>
      </c>
      <c r="F29" s="251">
        <f>D29*Potenzial!D25</f>
        <v>0</v>
      </c>
      <c r="G29" s="251"/>
      <c r="H29" s="247">
        <f>Potenzial!D21</f>
        <v>85968.144</v>
      </c>
      <c r="I29" s="247"/>
      <c r="J29" s="248">
        <f t="shared" si="0"/>
        <v>0</v>
      </c>
      <c r="K29" s="248"/>
    </row>
    <row r="30" spans="1:22" ht="27.95" customHeight="1" x14ac:dyDescent="0.2">
      <c r="A30" s="14"/>
      <c r="B30" s="249" t="s">
        <v>124</v>
      </c>
      <c r="C30" s="249"/>
      <c r="D30" s="181"/>
      <c r="E30" s="157" t="s">
        <v>10</v>
      </c>
      <c r="F30" s="251">
        <f>D30*Potenzial!D30</f>
        <v>0</v>
      </c>
      <c r="G30" s="251"/>
      <c r="H30" s="247"/>
      <c r="I30" s="247"/>
      <c r="J30" s="248"/>
      <c r="K30" s="248"/>
    </row>
    <row r="31" spans="1:22" ht="27.95" customHeight="1" x14ac:dyDescent="0.2">
      <c r="A31" s="14"/>
      <c r="B31" s="158"/>
      <c r="C31" s="158" t="s">
        <v>125</v>
      </c>
      <c r="D31" s="157"/>
      <c r="E31" s="157"/>
      <c r="F31" s="252">
        <f>H77</f>
        <v>3083</v>
      </c>
      <c r="G31" s="252"/>
      <c r="H31" s="247"/>
      <c r="I31" s="247"/>
      <c r="J31" s="248"/>
      <c r="K31" s="248"/>
      <c r="L31" s="162"/>
    </row>
    <row r="32" spans="1:22" ht="23.25" customHeight="1" x14ac:dyDescent="0.2">
      <c r="A32" s="14"/>
      <c r="B32" s="204" t="s">
        <v>32</v>
      </c>
      <c r="C32" s="204"/>
      <c r="D32" s="159"/>
      <c r="E32" s="159"/>
      <c r="F32" s="250">
        <f>SUM(F27:F31)</f>
        <v>3083</v>
      </c>
      <c r="G32" s="250"/>
      <c r="H32" s="258">
        <f>SUM(H27:H31)</f>
        <v>189332.09399999998</v>
      </c>
      <c r="I32" s="258"/>
      <c r="J32" s="257">
        <f>IF(H32&gt;0,F32/H32,0)</f>
        <v>1.6283557292721858E-2</v>
      </c>
      <c r="K32" s="257"/>
      <c r="L32" s="162"/>
    </row>
    <row r="33" spans="2:16" ht="45.75" customHeight="1" x14ac:dyDescent="0.2">
      <c r="B33" s="217" t="str">
        <f>"Bei erfolgreicher Umsetzung dieser Zielsetzung ergäbe sich für die Marktgemeinde folgende Deckung der Stromnachfrage durch erneuerbare Energien für das Jahr "&amp;'Basis-Annahmen'!E5&amp;":"</f>
        <v>Bei erfolgreicher Umsetzung dieser Zielsetzung ergäbe sich für die Marktgemeinde folgende Deckung der Stromnachfrage durch erneuerbare Energien für das Jahr 2040:</v>
      </c>
      <c r="C33" s="217"/>
      <c r="D33" s="217"/>
      <c r="E33" s="217"/>
      <c r="F33" s="217"/>
      <c r="G33" s="217"/>
      <c r="H33" s="217"/>
      <c r="I33" s="217"/>
      <c r="J33" s="217"/>
      <c r="K33" s="217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17" t="s">
        <v>169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5"/>
      <c r="M48" s="15"/>
    </row>
    <row r="49" spans="1:13" ht="36.75" customHeight="1" x14ac:dyDescent="0.2"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2"/>
      <c r="M49" s="15"/>
    </row>
    <row r="50" spans="1:13" ht="18" x14ac:dyDescent="0.2">
      <c r="A50" s="233" t="s">
        <v>39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</row>
    <row r="51" spans="1:13" ht="27.75" customHeight="1" x14ac:dyDescent="0.2">
      <c r="K51" s="1"/>
    </row>
    <row r="52" spans="1:13" ht="32.25" customHeight="1" x14ac:dyDescent="0.2">
      <c r="A52" s="234" t="s">
        <v>40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</row>
    <row r="53" spans="1:13" ht="77.25" customHeight="1" x14ac:dyDescent="0.2">
      <c r="B53" s="231" t="s">
        <v>186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231" t="s">
        <v>170</v>
      </c>
      <c r="C57" s="231"/>
      <c r="D57" s="231"/>
      <c r="E57" s="231"/>
      <c r="F57" s="231"/>
      <c r="G57" s="231"/>
      <c r="H57" s="29"/>
      <c r="I57" s="18" t="s">
        <v>35</v>
      </c>
      <c r="J57" s="17"/>
      <c r="K57" s="17"/>
    </row>
    <row r="58" spans="1:13" ht="18" customHeight="1" x14ac:dyDescent="0.2">
      <c r="B58" s="231" t="s">
        <v>172</v>
      </c>
      <c r="C58" s="231"/>
      <c r="D58" s="231"/>
      <c r="E58" s="231"/>
      <c r="F58" s="231"/>
      <c r="G58" s="231"/>
      <c r="H58" s="29"/>
      <c r="I58" s="18" t="s">
        <v>36</v>
      </c>
      <c r="J58" s="17"/>
      <c r="K58" s="17"/>
    </row>
    <row r="59" spans="1:13" ht="18" customHeight="1" x14ac:dyDescent="0.2">
      <c r="B59" s="231" t="s">
        <v>171</v>
      </c>
      <c r="C59" s="231"/>
      <c r="D59" s="231"/>
      <c r="E59" s="231"/>
      <c r="F59" s="231"/>
      <c r="G59" s="231"/>
      <c r="H59" s="29"/>
      <c r="I59" s="18" t="s">
        <v>37</v>
      </c>
      <c r="J59" s="17"/>
      <c r="K59" s="17"/>
    </row>
    <row r="60" spans="1:13" ht="18" customHeight="1" x14ac:dyDescent="0.2">
      <c r="B60" s="231" t="s">
        <v>173</v>
      </c>
      <c r="C60" s="231"/>
      <c r="D60" s="231"/>
      <c r="E60" s="231"/>
      <c r="F60" s="231"/>
      <c r="G60" s="231"/>
      <c r="H60" s="30"/>
      <c r="I60" s="31" t="s">
        <v>38</v>
      </c>
      <c r="J60" s="19"/>
      <c r="K60" s="19"/>
    </row>
    <row r="61" spans="1:13" ht="18" customHeight="1" x14ac:dyDescent="0.2">
      <c r="B61" s="231" t="s">
        <v>174</v>
      </c>
      <c r="C61" s="231"/>
      <c r="D61" s="231"/>
      <c r="E61" s="231"/>
      <c r="F61" s="231"/>
      <c r="G61" s="231"/>
      <c r="H61" s="30"/>
      <c r="J61" s="19"/>
      <c r="K61" s="19"/>
    </row>
    <row r="62" spans="1:13" ht="18" customHeight="1" x14ac:dyDescent="0.2">
      <c r="B62" s="231" t="s">
        <v>175</v>
      </c>
      <c r="C62" s="231"/>
      <c r="D62" s="231"/>
      <c r="E62" s="231"/>
      <c r="F62" s="231"/>
      <c r="G62" s="231"/>
      <c r="H62" s="30"/>
      <c r="I62" s="20"/>
      <c r="J62" s="19"/>
      <c r="K62" s="19"/>
    </row>
    <row r="63" spans="1:13" ht="18" customHeight="1" x14ac:dyDescent="0.2">
      <c r="B63" s="231" t="s">
        <v>176</v>
      </c>
      <c r="C63" s="231"/>
      <c r="D63" s="231"/>
      <c r="E63" s="231"/>
      <c r="F63" s="231"/>
      <c r="G63" s="231"/>
      <c r="H63" s="30"/>
      <c r="I63" s="17"/>
      <c r="J63" s="19"/>
      <c r="K63" s="19"/>
    </row>
    <row r="64" spans="1:13" ht="18" customHeight="1" x14ac:dyDescent="0.2">
      <c r="B64" s="231" t="s">
        <v>177</v>
      </c>
      <c r="C64" s="231"/>
      <c r="D64" s="231"/>
      <c r="E64" s="231"/>
      <c r="F64" s="231"/>
      <c r="G64" s="231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12723.15</v>
      </c>
      <c r="E76" s="186">
        <f>LOOKUP('Basis-Annahmen'!E5,'Nachfrage &amp; Erzeugung'!D9:G9,'Nachfrage &amp; Erzeugung'!D11:G11)</f>
        <v>9931.478873357386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13516.849999999999</v>
      </c>
      <c r="E77" s="186">
        <f>LOOKUP('Basis-Annahmen'!E5,'Nachfrage &amp; Erzeugung'!D9:G9,'Nachfrage &amp; Erzeugung'!D12:G12)</f>
        <v>15161.945491225588</v>
      </c>
      <c r="F77" s="175"/>
      <c r="G77" s="176" t="s">
        <v>101</v>
      </c>
      <c r="H77" s="186">
        <f>'Nachfrage &amp; Erzeugung'!C21</f>
        <v>3083</v>
      </c>
      <c r="I77" s="186">
        <f>F31</f>
        <v>3083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843.47</v>
      </c>
      <c r="E78" s="186">
        <f>LOOKUP('Basis-Annahmen'!E5,'Nachfrage &amp; Erzeugung'!D9:G9,'Nachfrage &amp; Erzeugung'!D13:G13)</f>
        <v>577.3933388383665</v>
      </c>
      <c r="F78" s="175"/>
      <c r="G78" s="176" t="str">
        <f>'Nachfrage &amp; Erzeugung'!B29</f>
        <v>Nicht aus lokalen EE gedeckter Strombedarf</v>
      </c>
      <c r="H78" s="186">
        <f>'Nachfrage &amp; Erzeugung'!C29</f>
        <v>33863.230000000003</v>
      </c>
      <c r="I78" s="186">
        <f>MAX(0,E82-SUM(I79:I82)-I77)</f>
        <v>40786.098077253118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18198.280373831774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36946.230000000003</v>
      </c>
      <c r="E82" s="186">
        <f>LOOKUP('Basis-Annahmen'!E5,'Nachfrage &amp; Erzeugung'!D9:G9,'Nachfrage &amp; Erzeugung'!D10:G10)</f>
        <v>43869.098077253118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98</v>
      </c>
      <c r="D83" s="175"/>
      <c r="E83" s="188">
        <f>(E82-D82)/D82</f>
        <v>0.18737684676496397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99</v>
      </c>
      <c r="D84" s="175"/>
      <c r="E84" s="188">
        <f>E79/E82</f>
        <v>0.41483142283401298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H31:I31"/>
    <mergeCell ref="J31:K31"/>
    <mergeCell ref="J28:K28"/>
    <mergeCell ref="F27:G27"/>
    <mergeCell ref="H27:I27"/>
    <mergeCell ref="H28:I28"/>
    <mergeCell ref="B32:C32"/>
    <mergeCell ref="F32:G32"/>
    <mergeCell ref="F28:G28"/>
    <mergeCell ref="F29:G29"/>
    <mergeCell ref="F30:G30"/>
    <mergeCell ref="F31:G31"/>
    <mergeCell ref="B27:C27"/>
    <mergeCell ref="H30:I30"/>
    <mergeCell ref="J30:K30"/>
    <mergeCell ref="B30:C30"/>
    <mergeCell ref="H29:I29"/>
    <mergeCell ref="J27:K27"/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topLeftCell="A19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4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6"/>
    </row>
    <row r="3" spans="1:14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6"/>
    </row>
    <row r="4" spans="1:14" ht="24" customHeight="1" x14ac:dyDescent="0.2">
      <c r="A4" s="226" t="s">
        <v>156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6"/>
      <c r="N4" s="6"/>
    </row>
    <row r="5" spans="1:14" ht="21.6" customHeight="1" x14ac:dyDescent="0.25">
      <c r="A5" s="14"/>
      <c r="B5" s="189"/>
      <c r="C5" s="260" t="str">
        <f>"Prognostizierte Einwohnerzahl im Jahr "&amp;'Basis-Annahmen'!E5</f>
        <v>Prognostizierte Einwohnerzahl im Jahr 2040</v>
      </c>
      <c r="D5" s="260"/>
      <c r="E5" s="260"/>
      <c r="F5" s="260"/>
      <c r="G5" s="260"/>
      <c r="H5" s="261">
        <f>LOOKUP('Basis-Annahmen'!E5,'Basis-Annahmen'!E33:I33,'Basis-Annahmen'!E34:I34)</f>
        <v>11300</v>
      </c>
      <c r="I5" s="261"/>
      <c r="J5" s="261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13" t="str">
        <f>"Treibhausgasemissionen durch Strombezug im Jahr "&amp;'Basis-Annahmen'!E5</f>
        <v>Treibhausgasemissionen durch Strombezug im Jahr 2040</v>
      </c>
      <c r="C7" s="213"/>
      <c r="D7" s="213"/>
      <c r="E7" s="213"/>
      <c r="F7" s="213"/>
      <c r="G7" s="213"/>
      <c r="H7" s="213"/>
      <c r="I7" s="213"/>
      <c r="J7" s="213"/>
      <c r="K7" s="213"/>
    </row>
    <row r="8" spans="1:14" ht="21.6" customHeight="1" x14ac:dyDescent="0.2">
      <c r="A8" s="14"/>
      <c r="B8" s="179"/>
      <c r="C8" s="228" t="s">
        <v>159</v>
      </c>
      <c r="D8" s="228"/>
      <c r="E8" s="228"/>
      <c r="F8" s="228"/>
      <c r="G8" s="228"/>
      <c r="H8" s="263">
        <f>Ausbauziel_Strom!I78</f>
        <v>40786.098077253118</v>
      </c>
      <c r="I8" s="263"/>
      <c r="J8" s="263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2" t="s">
        <v>160</v>
      </c>
      <c r="D10" s="262"/>
      <c r="E10" s="262"/>
      <c r="F10" s="262"/>
      <c r="G10" s="262"/>
      <c r="H10" s="264">
        <v>200</v>
      </c>
      <c r="I10" s="264"/>
      <c r="J10" s="264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59" t="s">
        <v>162</v>
      </c>
      <c r="D12" s="259"/>
      <c r="E12" s="259"/>
      <c r="F12" s="259"/>
      <c r="G12" s="259"/>
      <c r="H12" s="265">
        <f>H10*H8/1000</f>
        <v>8157.2196154506237</v>
      </c>
      <c r="I12" s="265"/>
      <c r="J12" s="265"/>
      <c r="K12" s="179"/>
    </row>
    <row r="13" spans="1:14" ht="24.6" customHeight="1" x14ac:dyDescent="0.2">
      <c r="A13" s="14"/>
      <c r="B13" s="179"/>
      <c r="C13" s="259" t="s">
        <v>161</v>
      </c>
      <c r="D13" s="259"/>
      <c r="E13" s="259"/>
      <c r="F13" s="259"/>
      <c r="G13" s="259"/>
      <c r="H13" s="266">
        <f>H12/H5</f>
        <v>0.72187784207527639</v>
      </c>
      <c r="I13" s="266"/>
      <c r="J13" s="266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13" t="str">
        <f>"Treibhausgasemissionen durch nicht-erneuerbare Wärmeerzeugung im Jahr "&amp;'Basis-Annahmen'!E5</f>
        <v>Treibhausgasemissionen durch nicht-erneuerbare Wärmeerzeugung im Jahr 2040</v>
      </c>
      <c r="C15" s="213"/>
      <c r="D15" s="213"/>
      <c r="E15" s="213"/>
      <c r="F15" s="213"/>
      <c r="G15" s="213"/>
      <c r="H15" s="213"/>
      <c r="I15" s="213"/>
      <c r="J15" s="213"/>
      <c r="K15" s="213"/>
    </row>
    <row r="16" spans="1:14" ht="21.6" customHeight="1" x14ac:dyDescent="0.2">
      <c r="A16" s="14"/>
      <c r="B16" s="179"/>
      <c r="C16" s="228" t="s">
        <v>157</v>
      </c>
      <c r="D16" s="228"/>
      <c r="E16" s="228"/>
      <c r="F16" s="228"/>
      <c r="G16" s="228"/>
      <c r="H16" s="263">
        <f>Ausbauziel_Wärme!I41</f>
        <v>90520.490255964076</v>
      </c>
      <c r="I16" s="263"/>
      <c r="J16" s="263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2" t="s">
        <v>158</v>
      </c>
      <c r="D18" s="262"/>
      <c r="E18" s="262"/>
      <c r="F18" s="262"/>
      <c r="G18" s="262"/>
      <c r="H18" s="264">
        <v>240</v>
      </c>
      <c r="I18" s="264"/>
      <c r="J18" s="264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59" t="s">
        <v>162</v>
      </c>
      <c r="D20" s="259"/>
      <c r="E20" s="259"/>
      <c r="F20" s="259"/>
      <c r="G20" s="259"/>
      <c r="H20" s="265">
        <f>H18*H16/1000</f>
        <v>21724.91766143138</v>
      </c>
      <c r="I20" s="265"/>
      <c r="J20" s="265"/>
      <c r="K20" s="179"/>
    </row>
    <row r="21" spans="1:11" ht="24.6" customHeight="1" x14ac:dyDescent="0.2">
      <c r="A21" s="14"/>
      <c r="B21" s="179"/>
      <c r="C21" s="259" t="s">
        <v>161</v>
      </c>
      <c r="D21" s="259"/>
      <c r="E21" s="259"/>
      <c r="F21" s="259"/>
      <c r="G21" s="259"/>
      <c r="H21" s="266">
        <f>H20/H5</f>
        <v>1.922559085082423</v>
      </c>
      <c r="I21" s="266"/>
      <c r="J21" s="266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13" t="str">
        <f>"Treibhausgasemissionen durch Treibstoffe im Individualverkehr im Jahr "&amp;'Basis-Annahmen'!E5</f>
        <v>Treibhausgasemissionen durch Treibstoffe im Individualverkehr im Jahr 2040</v>
      </c>
      <c r="C23" s="213"/>
      <c r="D23" s="213"/>
      <c r="E23" s="213"/>
      <c r="F23" s="213"/>
      <c r="G23" s="213"/>
      <c r="H23" s="213"/>
      <c r="I23" s="213"/>
      <c r="J23" s="213"/>
      <c r="K23" s="213"/>
    </row>
    <row r="24" spans="1:11" ht="31.5" customHeight="1" x14ac:dyDescent="0.2">
      <c r="A24" s="14"/>
      <c r="B24" s="179"/>
      <c r="C24" s="267" t="s">
        <v>183</v>
      </c>
      <c r="D24" s="262"/>
      <c r="E24" s="262"/>
      <c r="F24" s="262"/>
      <c r="G24" s="262"/>
      <c r="H24" s="268">
        <v>1.65</v>
      </c>
      <c r="I24" s="268"/>
      <c r="J24" s="268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59" t="s">
        <v>162</v>
      </c>
      <c r="D26" s="259"/>
      <c r="E26" s="259"/>
      <c r="F26" s="259"/>
      <c r="G26" s="259"/>
      <c r="H26" s="265">
        <f>H27*H5</f>
        <v>0</v>
      </c>
      <c r="I26" s="265"/>
      <c r="J26" s="265"/>
      <c r="K26" s="179"/>
    </row>
    <row r="27" spans="1:11" ht="24.6" customHeight="1" x14ac:dyDescent="0.2">
      <c r="A27" s="14"/>
      <c r="B27" s="179"/>
      <c r="C27" s="259" t="s">
        <v>161</v>
      </c>
      <c r="D27" s="259"/>
      <c r="E27" s="259"/>
      <c r="F27" s="259"/>
      <c r="G27" s="259"/>
      <c r="H27" s="266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6"/>
      <c r="J27" s="266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13" t="str">
        <f>"Treibhausgasemissionen der Sektoren Strom, Wärme und Verkehr im Jahr "&amp;'Basis-Annahmen'!E5</f>
        <v>Treibhausgasemissionen der Sektoren Strom, Wärme und Verkehr im Jahr 2040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59" t="s">
        <v>162</v>
      </c>
      <c r="D31" s="259"/>
      <c r="E31" s="259"/>
      <c r="F31" s="259"/>
      <c r="G31" s="259"/>
      <c r="H31" s="265">
        <f>H26+H20+H12</f>
        <v>29882.137276882004</v>
      </c>
      <c r="I31" s="265"/>
      <c r="J31" s="265"/>
      <c r="K31" s="179"/>
    </row>
    <row r="32" spans="1:11" ht="24.6" customHeight="1" x14ac:dyDescent="0.2">
      <c r="A32" s="14"/>
      <c r="B32" s="179"/>
      <c r="C32" s="259" t="s">
        <v>161</v>
      </c>
      <c r="D32" s="259"/>
      <c r="E32" s="259"/>
      <c r="F32" s="259"/>
      <c r="G32" s="259"/>
      <c r="H32" s="266">
        <f>H27+H21+H13</f>
        <v>2.6444369271576993</v>
      </c>
      <c r="I32" s="266"/>
      <c r="J32" s="266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33" t="s">
        <v>39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</row>
    <row r="40" spans="1:13" ht="27.75" customHeight="1" x14ac:dyDescent="0.2">
      <c r="K40" s="1"/>
    </row>
    <row r="41" spans="1:13" ht="32.25" customHeight="1" x14ac:dyDescent="0.2">
      <c r="A41" s="234" t="s">
        <v>40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</row>
    <row r="42" spans="1:13" ht="77.25" customHeight="1" x14ac:dyDescent="0.2">
      <c r="B42" s="231" t="s">
        <v>178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231" t="s">
        <v>170</v>
      </c>
      <c r="C46" s="231"/>
      <c r="D46" s="231"/>
      <c r="E46" s="231"/>
      <c r="F46" s="231"/>
      <c r="G46" s="231"/>
      <c r="H46" s="29"/>
      <c r="I46" s="18" t="s">
        <v>35</v>
      </c>
      <c r="J46" s="17"/>
      <c r="K46" s="17"/>
    </row>
    <row r="47" spans="1:13" ht="18" customHeight="1" x14ac:dyDescent="0.2">
      <c r="B47" s="231" t="s">
        <v>172</v>
      </c>
      <c r="C47" s="231"/>
      <c r="D47" s="231"/>
      <c r="E47" s="231"/>
      <c r="F47" s="231"/>
      <c r="G47" s="231"/>
      <c r="H47" s="29"/>
      <c r="I47" s="18" t="s">
        <v>36</v>
      </c>
      <c r="J47" s="17"/>
      <c r="K47" s="17"/>
    </row>
    <row r="48" spans="1:13" ht="18" customHeight="1" x14ac:dyDescent="0.2">
      <c r="B48" s="231" t="s">
        <v>171</v>
      </c>
      <c r="C48" s="231"/>
      <c r="D48" s="231"/>
      <c r="E48" s="231"/>
      <c r="F48" s="231"/>
      <c r="G48" s="231"/>
      <c r="H48" s="29"/>
      <c r="I48" s="18" t="s">
        <v>37</v>
      </c>
      <c r="J48" s="17"/>
      <c r="K48" s="17"/>
    </row>
    <row r="49" spans="1:12" ht="18" customHeight="1" x14ac:dyDescent="0.2">
      <c r="B49" s="231" t="s">
        <v>173</v>
      </c>
      <c r="C49" s="231"/>
      <c r="D49" s="231"/>
      <c r="E49" s="231"/>
      <c r="F49" s="231"/>
      <c r="G49" s="231"/>
      <c r="H49" s="30"/>
      <c r="I49" s="31" t="s">
        <v>38</v>
      </c>
      <c r="J49" s="19"/>
      <c r="K49" s="19"/>
    </row>
    <row r="50" spans="1:12" ht="18" customHeight="1" x14ac:dyDescent="0.2">
      <c r="B50" s="231" t="s">
        <v>174</v>
      </c>
      <c r="C50" s="231"/>
      <c r="D50" s="231"/>
      <c r="E50" s="231"/>
      <c r="F50" s="231"/>
      <c r="G50" s="231"/>
      <c r="H50" s="30"/>
      <c r="J50" s="19"/>
      <c r="K50" s="19"/>
    </row>
    <row r="51" spans="1:12" ht="18" customHeight="1" x14ac:dyDescent="0.2">
      <c r="B51" s="231" t="s">
        <v>175</v>
      </c>
      <c r="C51" s="231"/>
      <c r="D51" s="231"/>
      <c r="E51" s="231"/>
      <c r="F51" s="231"/>
      <c r="G51" s="231"/>
      <c r="H51" s="30"/>
      <c r="I51" s="20"/>
      <c r="J51" s="19"/>
      <c r="K51" s="19"/>
    </row>
    <row r="52" spans="1:12" ht="18" customHeight="1" x14ac:dyDescent="0.2">
      <c r="B52" s="231" t="s">
        <v>176</v>
      </c>
      <c r="C52" s="231"/>
      <c r="D52" s="231"/>
      <c r="E52" s="231"/>
      <c r="F52" s="231"/>
      <c r="G52" s="231"/>
      <c r="H52" s="30"/>
      <c r="I52" s="17"/>
      <c r="J52" s="19"/>
      <c r="K52" s="19"/>
    </row>
    <row r="53" spans="1:12" ht="18" customHeight="1" x14ac:dyDescent="0.2">
      <c r="B53" s="231" t="s">
        <v>177</v>
      </c>
      <c r="C53" s="231"/>
      <c r="D53" s="231"/>
      <c r="E53" s="231"/>
      <c r="F53" s="231"/>
      <c r="G53" s="231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72</v>
      </c>
      <c r="D56" s="185">
        <f>H12</f>
        <v>8157.2196154506237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70</v>
      </c>
      <c r="D57" s="185">
        <f>H20</f>
        <v>21724.91766143138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167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H18:J18"/>
    <mergeCell ref="C20:G20"/>
    <mergeCell ref="H20:J20"/>
    <mergeCell ref="C21:G21"/>
    <mergeCell ref="H21:J21"/>
    <mergeCell ref="B29:K29"/>
    <mergeCell ref="C31:G31"/>
    <mergeCell ref="H31:J31"/>
    <mergeCell ref="C32:G32"/>
    <mergeCell ref="H32:J32"/>
    <mergeCell ref="C26:G26"/>
    <mergeCell ref="H26:J26"/>
    <mergeCell ref="C27:G27"/>
    <mergeCell ref="H27:J27"/>
    <mergeCell ref="C24:G24"/>
    <mergeCell ref="H24:J24"/>
    <mergeCell ref="C16:G16"/>
    <mergeCell ref="C8:G8"/>
    <mergeCell ref="H8:J8"/>
    <mergeCell ref="C13:G13"/>
    <mergeCell ref="H10:J10"/>
    <mergeCell ref="H12:J12"/>
    <mergeCell ref="H13:J13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B7:K7"/>
    <mergeCell ref="C12:G12"/>
    <mergeCell ref="A1:L1"/>
    <mergeCell ref="A2:L2"/>
    <mergeCell ref="A3:L3"/>
    <mergeCell ref="A4:L4"/>
    <mergeCell ref="C5:G5"/>
    <mergeCell ref="H5:J5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opLeftCell="A27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78" t="s">
        <v>107</v>
      </c>
      <c r="B2" s="278"/>
      <c r="C2" s="278"/>
      <c r="D2" s="278"/>
      <c r="E2" s="278"/>
      <c r="F2" s="278"/>
      <c r="G2" s="278"/>
      <c r="H2" s="278"/>
      <c r="I2" s="278"/>
      <c r="J2" s="278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3" t="s">
        <v>97</v>
      </c>
      <c r="C4" s="274"/>
      <c r="D4" s="274"/>
      <c r="E4" s="274"/>
      <c r="F4" s="274"/>
      <c r="G4" s="274"/>
      <c r="H4" s="274"/>
      <c r="I4" s="275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96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3" t="s">
        <v>47</v>
      </c>
      <c r="C7" s="274"/>
      <c r="D7" s="274"/>
      <c r="E7" s="274"/>
      <c r="F7" s="274"/>
      <c r="G7" s="274"/>
      <c r="H7" s="274"/>
      <c r="I7" s="275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69" t="s">
        <v>48</v>
      </c>
      <c r="C9" s="270"/>
      <c r="D9" s="270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3" t="s">
        <v>8</v>
      </c>
      <c r="C11" s="274"/>
      <c r="D11" s="274"/>
      <c r="E11" s="274"/>
      <c r="F11" s="274"/>
      <c r="G11" s="274"/>
      <c r="H11" s="274"/>
      <c r="I11" s="275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9" t="s">
        <v>168</v>
      </c>
      <c r="C13" s="280"/>
      <c r="D13" s="280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9" t="s">
        <v>5</v>
      </c>
      <c r="C14" s="280"/>
      <c r="D14" s="280"/>
      <c r="E14" s="34">
        <f>E46/E45</f>
        <v>1.027158774373259E-2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81" t="s">
        <v>49</v>
      </c>
      <c r="C15" s="282"/>
      <c r="D15" s="282"/>
      <c r="E15" s="53">
        <f>E47/E45</f>
        <v>2.3676880222841225E-2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3" t="s">
        <v>67</v>
      </c>
      <c r="C17" s="274"/>
      <c r="D17" s="274"/>
      <c r="E17" s="274"/>
      <c r="F17" s="274"/>
      <c r="G17" s="274"/>
      <c r="H17" s="274"/>
      <c r="I17" s="275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9" t="s">
        <v>68</v>
      </c>
      <c r="C19" s="280"/>
      <c r="D19" s="280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81" t="s">
        <v>69</v>
      </c>
      <c r="C20" s="282"/>
      <c r="D20" s="282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3" t="s">
        <v>103</v>
      </c>
      <c r="C22" s="274"/>
      <c r="D22" s="274"/>
      <c r="E22" s="274"/>
      <c r="F22" s="274"/>
      <c r="G22" s="274"/>
      <c r="H22" s="274"/>
      <c r="I22" s="275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81" t="s">
        <v>50</v>
      </c>
      <c r="C24" s="282"/>
      <c r="D24" s="282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3" t="s">
        <v>187</v>
      </c>
      <c r="C26" s="274"/>
      <c r="D26" s="274"/>
      <c r="E26" s="274"/>
      <c r="F26" s="274"/>
      <c r="G26" s="274"/>
      <c r="H26" s="274"/>
      <c r="I26" s="275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1" t="s">
        <v>51</v>
      </c>
      <c r="C28" s="272"/>
      <c r="D28" s="272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1" t="s">
        <v>52</v>
      </c>
      <c r="C29" s="272"/>
      <c r="D29" s="272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69" t="s">
        <v>53</v>
      </c>
      <c r="C30" s="270"/>
      <c r="D30" s="270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3" t="s">
        <v>1</v>
      </c>
      <c r="C32" s="274"/>
      <c r="D32" s="274"/>
      <c r="E32" s="274"/>
      <c r="F32" s="274"/>
      <c r="G32" s="274"/>
      <c r="H32" s="274"/>
      <c r="I32" s="275"/>
      <c r="J32" s="14"/>
    </row>
    <row r="33" spans="1:10" ht="19.5" customHeight="1" x14ac:dyDescent="0.2">
      <c r="A33" s="14"/>
      <c r="B33" s="276"/>
      <c r="C33" s="277"/>
      <c r="D33" s="277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1" t="s">
        <v>57</v>
      </c>
      <c r="C34" s="272"/>
      <c r="D34" s="272"/>
      <c r="E34" s="69">
        <v>10700</v>
      </c>
      <c r="F34" s="69">
        <v>10800</v>
      </c>
      <c r="G34" s="69">
        <v>10900</v>
      </c>
      <c r="H34" s="69">
        <v>11100</v>
      </c>
      <c r="I34" s="70">
        <v>11300</v>
      </c>
      <c r="J34" s="14"/>
    </row>
    <row r="35" spans="1:10" ht="37.5" customHeight="1" x14ac:dyDescent="0.2">
      <c r="A35" s="14"/>
      <c r="B35" s="276"/>
      <c r="C35" s="277"/>
      <c r="D35" s="277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">
      <c r="A36" s="14"/>
      <c r="B36" s="269" t="s">
        <v>58</v>
      </c>
      <c r="C36" s="270"/>
      <c r="D36" s="270"/>
      <c r="E36" s="66"/>
      <c r="F36" s="67">
        <f>(F34-E34)/E34</f>
        <v>9.3457943925233638E-3</v>
      </c>
      <c r="G36" s="67">
        <f>(G34-F34)/F34</f>
        <v>9.2592592592592587E-3</v>
      </c>
      <c r="H36" s="67">
        <f>(H34-G34)/G34</f>
        <v>1.834862385321101E-2</v>
      </c>
      <c r="I36" s="68">
        <f>(I34-H34)/H34</f>
        <v>1.8018018018018018E-2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3" t="s">
        <v>118</v>
      </c>
      <c r="C38" s="274"/>
      <c r="D38" s="274"/>
      <c r="E38" s="274"/>
      <c r="F38" s="274"/>
      <c r="G38" s="274"/>
      <c r="H38" s="274"/>
      <c r="I38" s="275"/>
      <c r="J38" s="14"/>
    </row>
    <row r="39" spans="1:10" ht="19.5" customHeight="1" x14ac:dyDescent="0.2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69" t="s">
        <v>188</v>
      </c>
      <c r="C40" s="270"/>
      <c r="D40" s="270"/>
      <c r="E40" s="80">
        <v>41.688413311963799</v>
      </c>
      <c r="F40" s="143" t="s">
        <v>185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3" t="s">
        <v>62</v>
      </c>
      <c r="C42" s="274"/>
      <c r="D42" s="274"/>
      <c r="E42" s="274"/>
      <c r="F42" s="274"/>
      <c r="G42" s="274"/>
      <c r="H42" s="274"/>
      <c r="I42" s="275"/>
      <c r="J42" s="14"/>
    </row>
    <row r="43" spans="1:10" ht="19.5" customHeight="1" x14ac:dyDescent="0.2">
      <c r="A43" s="14"/>
      <c r="B43" s="276"/>
      <c r="C43" s="277"/>
      <c r="D43" s="277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1" t="s">
        <v>108</v>
      </c>
      <c r="C44" s="272"/>
      <c r="D44" s="272"/>
      <c r="E44" s="73">
        <v>0.53682242990654205</v>
      </c>
      <c r="F44" s="73">
        <f>E44*(1+(F13*(F43-E43)))</f>
        <v>0.53682242990654205</v>
      </c>
      <c r="G44" s="73">
        <f t="shared" ref="G44:I44" si="0">F44*(1+(G13*(G43-F43)))</f>
        <v>0.53682242990654205</v>
      </c>
      <c r="H44" s="73">
        <f t="shared" si="0"/>
        <v>0.53682242990654205</v>
      </c>
      <c r="I44" s="190">
        <f t="shared" si="0"/>
        <v>0.53682242990654205</v>
      </c>
      <c r="J44" s="14"/>
    </row>
    <row r="45" spans="1:10" ht="19.5" customHeight="1" x14ac:dyDescent="0.2">
      <c r="A45" s="14"/>
      <c r="B45" s="271" t="s">
        <v>4</v>
      </c>
      <c r="C45" s="272"/>
      <c r="D45" s="272"/>
      <c r="E45" s="69">
        <v>5744</v>
      </c>
      <c r="F45" s="36">
        <f>F44*F34</f>
        <v>5797.6822429906542</v>
      </c>
      <c r="G45" s="36">
        <f t="shared" ref="G45:I45" si="1">G44*G34</f>
        <v>5851.3644859813085</v>
      </c>
      <c r="H45" s="36">
        <f t="shared" si="1"/>
        <v>5958.7289719626169</v>
      </c>
      <c r="I45" s="74">
        <f t="shared" si="1"/>
        <v>6066.0934579439254</v>
      </c>
      <c r="J45" s="14"/>
    </row>
    <row r="46" spans="1:10" ht="19.5" customHeight="1" x14ac:dyDescent="0.2">
      <c r="A46" s="14"/>
      <c r="B46" s="271" t="s">
        <v>2</v>
      </c>
      <c r="C46" s="272"/>
      <c r="D46" s="272"/>
      <c r="E46" s="69">
        <v>59</v>
      </c>
      <c r="F46" s="36">
        <f>F$45*F$14</f>
        <v>289.88411214953271</v>
      </c>
      <c r="G46" s="36">
        <f>G$45*G$14</f>
        <v>1755.4093457943925</v>
      </c>
      <c r="H46" s="36">
        <f>H$45*H$14</f>
        <v>3575.2373831775699</v>
      </c>
      <c r="I46" s="74">
        <f>I$45*I$14</f>
        <v>6066.0934579439254</v>
      </c>
      <c r="J46" s="14"/>
    </row>
    <row r="47" spans="1:10" ht="19.5" customHeight="1" x14ac:dyDescent="0.2">
      <c r="A47" s="14"/>
      <c r="B47" s="269" t="s">
        <v>3</v>
      </c>
      <c r="C47" s="270"/>
      <c r="D47" s="270"/>
      <c r="E47" s="75">
        <v>136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3" t="s">
        <v>56</v>
      </c>
      <c r="C49" s="274"/>
      <c r="D49" s="274"/>
      <c r="E49" s="274"/>
      <c r="F49" s="274"/>
      <c r="G49" s="274"/>
      <c r="H49" s="274"/>
      <c r="I49" s="275"/>
      <c r="J49" s="14"/>
    </row>
    <row r="50" spans="1:10" ht="19.5" customHeight="1" x14ac:dyDescent="0.2">
      <c r="A50" s="14"/>
      <c r="B50" s="276"/>
      <c r="C50" s="277"/>
      <c r="D50" s="277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1" t="s">
        <v>55</v>
      </c>
      <c r="C51" s="272"/>
      <c r="D51" s="272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69" t="s">
        <v>9</v>
      </c>
      <c r="C52" s="270"/>
      <c r="D52" s="270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3" t="s">
        <v>63</v>
      </c>
      <c r="C54" s="274"/>
      <c r="D54" s="274"/>
      <c r="E54" s="274"/>
      <c r="F54" s="274"/>
      <c r="G54" s="274"/>
      <c r="H54" s="274"/>
      <c r="I54" s="275"/>
      <c r="J54" s="14"/>
    </row>
    <row r="55" spans="1:10" ht="19.5" customHeight="1" x14ac:dyDescent="0.2">
      <c r="A55" s="14"/>
      <c r="B55" s="271" t="s">
        <v>143</v>
      </c>
      <c r="C55" s="272"/>
      <c r="D55" s="272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1" t="s">
        <v>165</v>
      </c>
      <c r="C56" s="272"/>
      <c r="D56" s="272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69" t="s">
        <v>166</v>
      </c>
      <c r="C57" s="270"/>
      <c r="D57" s="270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  <mergeCell ref="B56:D56"/>
    <mergeCell ref="B22:I22"/>
    <mergeCell ref="B26:I26"/>
    <mergeCell ref="B30:D30"/>
    <mergeCell ref="B32:I32"/>
    <mergeCell ref="B33:D33"/>
    <mergeCell ref="B55:D55"/>
    <mergeCell ref="B54:I54"/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36" zoomScaleNormal="100" workbookViewId="0">
      <selection activeCell="B15" sqref="B15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78" t="s">
        <v>109</v>
      </c>
      <c r="B2" s="278"/>
      <c r="C2" s="278"/>
      <c r="D2" s="278"/>
      <c r="E2" s="278"/>
      <c r="F2" s="278"/>
      <c r="G2" s="278"/>
      <c r="H2" s="278"/>
    </row>
    <row r="5" spans="1:8" s="26" customFormat="1" ht="34.5" customHeight="1" x14ac:dyDescent="0.25">
      <c r="B5" s="283" t="s">
        <v>72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3" t="s">
        <v>64</v>
      </c>
      <c r="C8" s="274"/>
      <c r="D8" s="274"/>
      <c r="E8" s="274"/>
      <c r="F8" s="274"/>
      <c r="G8" s="274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66</v>
      </c>
      <c r="C10" s="93">
        <v>36946.230000000003</v>
      </c>
      <c r="D10" s="94">
        <f>D11+D12+D13+D14+D15</f>
        <v>26634.020723074347</v>
      </c>
      <c r="E10" s="94">
        <f>E11+E12+E13+E14+D15</f>
        <v>30857.741308567049</v>
      </c>
      <c r="F10" s="94">
        <f>F11+F12+F13+F14+D15</f>
        <v>36322.802252464535</v>
      </c>
      <c r="G10" s="95">
        <f>G11+G12+G13+G14+D15</f>
        <v>43869.098077253118</v>
      </c>
      <c r="H10" s="14"/>
    </row>
    <row r="11" spans="1:8" ht="19.5" customHeight="1" x14ac:dyDescent="0.2">
      <c r="B11" s="88" t="s">
        <v>6</v>
      </c>
      <c r="C11" s="96">
        <v>12723.15</v>
      </c>
      <c r="D11" s="97">
        <f>C11/'Basis-Annahmen'!E34*((1-'Basis-Annahmen'!F19)^(D9-C9))*'Basis-Annahmen'!F34</f>
        <v>11907.368049943045</v>
      </c>
      <c r="E11" s="97">
        <f>D11/'Basis-Annahmen'!F34*((1-'Basis-Annahmen'!G19)^5)*'Basis-Annahmen'!G34</f>
        <v>11142.93693486735</v>
      </c>
      <c r="F11" s="97">
        <f>E11/'Basis-Annahmen'!G34*((1-'Basis-Annahmen'!H19)^5)*'Basis-Annahmen'!H34</f>
        <v>10521.491433045479</v>
      </c>
      <c r="G11" s="98">
        <f>F11/'Basis-Annahmen'!H34*((1-'Basis-Annahmen'!I19)^5)*'Basis-Annahmen'!I34</f>
        <v>9931.478873357386</v>
      </c>
      <c r="H11" s="14"/>
    </row>
    <row r="12" spans="1:8" ht="19.5" customHeight="1" x14ac:dyDescent="0.2">
      <c r="B12" s="88" t="s">
        <v>102</v>
      </c>
      <c r="C12" s="96">
        <v>13516.849999999999</v>
      </c>
      <c r="D12" s="97">
        <f>((1-'Basis-Annahmen'!F20)^(D9-C9))*((1+'Basis-Annahmen'!F9)^(D9-C9))*C12</f>
        <v>13132.683948025526</v>
      </c>
      <c r="E12" s="97">
        <f>((1-'Basis-Annahmen'!G20)^5)*((1+'Basis-Annahmen'!G9)^5)*D12</f>
        <v>13776.978227819707</v>
      </c>
      <c r="F12" s="97">
        <f>((1-'Basis-Annahmen'!H20)^5)*((1+'Basis-Annahmen'!H9)^5)*E12</f>
        <v>14452.881820730567</v>
      </c>
      <c r="G12" s="98">
        <f>((1-'Basis-Annahmen'!I20)^5)*((1+'Basis-Annahmen'!I9)^5)*F12</f>
        <v>15161.945491225588</v>
      </c>
      <c r="H12" s="14"/>
    </row>
    <row r="13" spans="1:8" ht="19.5" customHeight="1" x14ac:dyDescent="0.2">
      <c r="B13" s="88" t="s">
        <v>7</v>
      </c>
      <c r="C13" s="96">
        <v>843.47</v>
      </c>
      <c r="D13" s="97">
        <f>C13*((1-'Basis-Annahmen'!F20)^(D9-C9))</f>
        <v>724.31638865717889</v>
      </c>
      <c r="E13" s="97">
        <f>D13*((1-'Basis-Annahmen'!G20)^5)</f>
        <v>671.59810849681014</v>
      </c>
      <c r="F13" s="97">
        <f>E13*((1-'Basis-Annahmen'!H20)^5)</f>
        <v>622.7168491557818</v>
      </c>
      <c r="G13" s="98">
        <f>F13*((1-'Basis-Annahmen'!I20)^5)</f>
        <v>577.3933388383665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869.65233644859813</v>
      </c>
      <c r="E14" s="97">
        <f>'Basis-Annahmen'!G46*'Basis-Annahmen'!G51+'Basis-Annahmen'!G47*'Basis-Annahmen'!G52</f>
        <v>5266.2280373831773</v>
      </c>
      <c r="F14" s="97">
        <f>'Basis-Annahmen'!H46*'Basis-Annahmen'!H51+'Basis-Annahmen'!H47*'Basis-Annahmen'!H52</f>
        <v>10725.71214953271</v>
      </c>
      <c r="G14" s="98">
        <f>'Basis-Annahmen'!I46*'Basis-Annahmen'!I51+'Basis-Annahmen'!I47*'Basis-Annahmen'!I52</f>
        <v>18198.280373831774</v>
      </c>
      <c r="H14" s="14"/>
    </row>
    <row r="15" spans="1:8" ht="19.5" customHeight="1" x14ac:dyDescent="0.2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94</v>
      </c>
      <c r="C16" s="106"/>
      <c r="D16" s="101">
        <f>(D10-$C$10)/$C$10</f>
        <v>-0.27911397934039966</v>
      </c>
      <c r="E16" s="101">
        <f>(E10-$C$10)/$C$10</f>
        <v>-0.16479323306959748</v>
      </c>
      <c r="F16" s="101">
        <f t="shared" ref="F16" si="0">(F10-$C$10)/$C$10</f>
        <v>-1.6873920492983134E-2</v>
      </c>
      <c r="G16" s="102">
        <f>(G10-$C$10)/$C$10</f>
        <v>0.18737684676496397</v>
      </c>
      <c r="H16" s="14"/>
    </row>
    <row r="17" spans="1:10" ht="19.5" customHeight="1" x14ac:dyDescent="0.2">
      <c r="B17" s="89" t="s">
        <v>95</v>
      </c>
      <c r="C17" s="107"/>
      <c r="D17" s="104">
        <f>D14/D10</f>
        <v>3.2651935863937206E-2</v>
      </c>
      <c r="E17" s="104">
        <f>E14/E10</f>
        <v>0.17066148765467523</v>
      </c>
      <c r="F17" s="104">
        <f>F14/F10</f>
        <v>0.29528867500317824</v>
      </c>
      <c r="G17" s="105">
        <f>G14/G10</f>
        <v>0.41483142283401298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3" t="s">
        <v>71</v>
      </c>
      <c r="C19" s="274"/>
      <c r="D19" s="274"/>
      <c r="E19" s="274"/>
      <c r="F19" s="274"/>
      <c r="G19" s="275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3083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2591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492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110</v>
      </c>
      <c r="C29" s="126">
        <f>IF(C10-C21&lt;0,0,C10-C21)</f>
        <v>33863.230000000003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3" t="s">
        <v>65</v>
      </c>
      <c r="C35" s="274"/>
      <c r="D35" s="274"/>
      <c r="E35" s="274"/>
      <c r="F35" s="274"/>
      <c r="G35" s="274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66</v>
      </c>
      <c r="C37" s="93">
        <v>102274</v>
      </c>
      <c r="D37" s="94">
        <f>SUM(D38:D40)</f>
        <v>104591.730034573</v>
      </c>
      <c r="E37" s="94">
        <f>SUM(E38:E40)</f>
        <v>107100.63148114923</v>
      </c>
      <c r="F37" s="94">
        <f t="shared" ref="F37:G37" si="1">SUM(F38:F40)</f>
        <v>109966.98688826158</v>
      </c>
      <c r="G37" s="95">
        <f t="shared" si="1"/>
        <v>113150.61281995509</v>
      </c>
      <c r="H37" s="14"/>
    </row>
    <row r="38" spans="1:8" ht="19.5" customHeight="1" x14ac:dyDescent="0.2">
      <c r="A38" s="14"/>
      <c r="B38" s="113" t="s">
        <v>6</v>
      </c>
      <c r="C38" s="96">
        <v>52418.04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51106.939401338743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49712.461976053557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48359.672964080331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47006.883952107106</v>
      </c>
      <c r="H38" s="14"/>
    </row>
    <row r="39" spans="1:8" ht="19.5" customHeight="1" x14ac:dyDescent="0.2">
      <c r="A39" s="14"/>
      <c r="B39" s="113" t="s">
        <v>102</v>
      </c>
      <c r="C39" s="96">
        <v>47505.41</v>
      </c>
      <c r="D39" s="97">
        <f>C39*((1-'Basis-Annahmen'!F$24)^(D36-C36))*((1+'Basis-Annahmen'!F$9)^(D36-C36))</f>
        <v>51113.823692145765</v>
      </c>
      <c r="E39" s="97">
        <f>((1-'Basis-Annahmen'!G$24)^5)*((1+'Basis-Annahmen'!G$9)^5)*'Nachfrage &amp; Erzeugung'!D39</f>
        <v>54996.325101325543</v>
      </c>
      <c r="F39" s="97">
        <f>((1-'Basis-Annahmen'!H$24)^5)*((1+'Basis-Annahmen'!H$9)^5)*'Nachfrage &amp; Erzeugung'!E39</f>
        <v>59173.733369422218</v>
      </c>
      <c r="G39" s="98">
        <f>((1-'Basis-Annahmen'!I$24)^5)*((1+'Basis-Annahmen'!I$9)^5)*'Nachfrage &amp; Erzeugung'!F39</f>
        <v>63668.449017715866</v>
      </c>
      <c r="H39" s="14"/>
    </row>
    <row r="40" spans="1:8" ht="19.5" customHeight="1" x14ac:dyDescent="0.2">
      <c r="A40" s="14"/>
      <c r="B40" s="113" t="s">
        <v>7</v>
      </c>
      <c r="C40" s="96">
        <v>2350.08</v>
      </c>
      <c r="D40" s="97">
        <f>C40+(C40*'Basis-Annahmen'!F36)*((1-'Basis-Annahmen'!F24)^(D36-C36))</f>
        <v>2370.9669410884953</v>
      </c>
      <c r="E40" s="97">
        <f>D40+(D40*'Basis-Annahmen'!G36)*((1-'Basis-Annahmen'!G24)^5)</f>
        <v>2391.8444037701342</v>
      </c>
      <c r="F40" s="97">
        <f>E40+(E40*'Basis-Annahmen'!H36)*((1-'Basis-Annahmen'!H24)^5)</f>
        <v>2433.5805547590221</v>
      </c>
      <c r="G40" s="98">
        <f>F40+(F40*'Basis-Annahmen'!I36)*((1-'Basis-Annahmen'!I24)^5)</f>
        <v>2475.2798501321022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94</v>
      </c>
      <c r="C42" s="103"/>
      <c r="D42" s="104">
        <f>(D37-$C$37)/$C$37</f>
        <v>2.2661967211344072E-2</v>
      </c>
      <c r="E42" s="104">
        <f>(E37-$C$37)/$C$37</f>
        <v>4.7193142745460569E-2</v>
      </c>
      <c r="F42" s="104">
        <f>(F37-$C$37)/$C$37</f>
        <v>7.5219380177382181E-2</v>
      </c>
      <c r="G42" s="105">
        <f>(G37-$C$37)/$C$37</f>
        <v>0.10634777968941361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3" t="s">
        <v>73</v>
      </c>
      <c r="C44" s="274"/>
      <c r="D44" s="274"/>
      <c r="E44" s="274"/>
      <c r="F44" s="274"/>
      <c r="G44" s="275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54</v>
      </c>
      <c r="C46" s="119">
        <v>11785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74</v>
      </c>
      <c r="C47" s="125">
        <f>IF(C37-C46&lt;0,0,C37-C46)</f>
        <v>90489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3" t="s">
        <v>135</v>
      </c>
      <c r="C50" s="274"/>
      <c r="D50" s="274"/>
      <c r="E50" s="274"/>
      <c r="F50" s="274"/>
      <c r="G50" s="275"/>
      <c r="H50" s="14"/>
    </row>
    <row r="51" spans="1:8" ht="52.5" customHeight="1" x14ac:dyDescent="0.2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5.218032271275521E-2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0.3247021241353521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1.4104958663004995E-2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0.60901259448888767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137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78" t="s">
        <v>26</v>
      </c>
      <c r="B2" s="278"/>
      <c r="C2" s="278"/>
      <c r="D2" s="278"/>
      <c r="E2" s="278"/>
      <c r="F2" s="278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3" t="s">
        <v>0</v>
      </c>
      <c r="C8" s="274"/>
      <c r="D8" s="274"/>
      <c r="E8" s="275"/>
    </row>
    <row r="9" spans="1:6" s="130" customFormat="1" ht="19.5" customHeight="1" x14ac:dyDescent="0.25">
      <c r="B9" s="303" t="s">
        <v>19</v>
      </c>
      <c r="C9" s="304"/>
      <c r="D9" s="93">
        <f>D11*D10</f>
        <v>72000</v>
      </c>
      <c r="E9" s="131" t="s">
        <v>13</v>
      </c>
    </row>
    <row r="10" spans="1:6" s="130" customFormat="1" ht="19.5" customHeight="1" x14ac:dyDescent="0.25">
      <c r="B10" s="295" t="s">
        <v>126</v>
      </c>
      <c r="C10" s="296"/>
      <c r="D10" s="96">
        <v>8</v>
      </c>
      <c r="E10" s="145" t="s">
        <v>127</v>
      </c>
    </row>
    <row r="11" spans="1:6" s="130" customFormat="1" ht="19.5" customHeight="1" x14ac:dyDescent="0.25">
      <c r="B11" s="305" t="s">
        <v>12</v>
      </c>
      <c r="C11" s="306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3" t="s">
        <v>111</v>
      </c>
      <c r="C13" s="274"/>
      <c r="D13" s="274"/>
      <c r="E13" s="275"/>
    </row>
    <row r="14" spans="1:6" s="130" customFormat="1" ht="19.5" customHeight="1" x14ac:dyDescent="0.25">
      <c r="B14" s="299" t="s">
        <v>19</v>
      </c>
      <c r="C14" s="300"/>
      <c r="D14" s="93">
        <f>D15*D18</f>
        <v>31363.949999999997</v>
      </c>
      <c r="E14" s="133" t="s">
        <v>13</v>
      </c>
    </row>
    <row r="15" spans="1:6" s="130" customFormat="1" ht="19.5" customHeight="1" x14ac:dyDescent="0.25">
      <c r="B15" s="297" t="s">
        <v>148</v>
      </c>
      <c r="C15" s="298"/>
      <c r="D15" s="173">
        <v>209093</v>
      </c>
      <c r="E15" s="135" t="s">
        <v>30</v>
      </c>
    </row>
    <row r="16" spans="1:6" s="130" customFormat="1" ht="19.5" customHeight="1" x14ac:dyDescent="0.25">
      <c r="B16" s="297" t="s">
        <v>20</v>
      </c>
      <c r="C16" s="298"/>
      <c r="D16" s="134">
        <v>6</v>
      </c>
      <c r="E16" s="135" t="s">
        <v>119</v>
      </c>
      <c r="F16" s="136"/>
    </row>
    <row r="17" spans="2:6" s="130" customFormat="1" ht="19.5" customHeight="1" x14ac:dyDescent="0.25">
      <c r="B17" s="297" t="s">
        <v>150</v>
      </c>
      <c r="C17" s="298"/>
      <c r="D17" s="137">
        <v>900</v>
      </c>
      <c r="E17" s="135" t="s">
        <v>116</v>
      </c>
    </row>
    <row r="18" spans="2:6" s="130" customFormat="1" ht="19.5" customHeight="1" x14ac:dyDescent="0.25">
      <c r="B18" s="287" t="s">
        <v>149</v>
      </c>
      <c r="C18" s="288"/>
      <c r="D18" s="138">
        <f>(D17/D16)/1000</f>
        <v>0.15</v>
      </c>
      <c r="E18" s="139" t="s">
        <v>120</v>
      </c>
    </row>
    <row r="19" spans="2:6" x14ac:dyDescent="0.25">
      <c r="D19" s="4"/>
    </row>
    <row r="20" spans="2:6" ht="15.75" x14ac:dyDescent="0.25">
      <c r="B20" s="273" t="s">
        <v>112</v>
      </c>
      <c r="C20" s="274"/>
      <c r="D20" s="274"/>
      <c r="E20" s="275"/>
    </row>
    <row r="21" spans="2:6" s="132" customFormat="1" ht="19.5" customHeight="1" x14ac:dyDescent="0.25">
      <c r="B21" s="299" t="s">
        <v>19</v>
      </c>
      <c r="C21" s="300"/>
      <c r="D21" s="93">
        <f>D22*D25</f>
        <v>85968.144</v>
      </c>
      <c r="E21" s="133" t="s">
        <v>13</v>
      </c>
    </row>
    <row r="22" spans="2:6" s="132" customFormat="1" ht="19.5" customHeight="1" x14ac:dyDescent="0.25">
      <c r="B22" s="297" t="s">
        <v>147</v>
      </c>
      <c r="C22" s="298"/>
      <c r="D22" s="96">
        <v>119.4002</v>
      </c>
      <c r="E22" s="135" t="s">
        <v>10</v>
      </c>
    </row>
    <row r="23" spans="2:6" s="132" customFormat="1" ht="19.5" customHeight="1" x14ac:dyDescent="0.25">
      <c r="B23" s="301" t="s">
        <v>113</v>
      </c>
      <c r="C23" s="302"/>
      <c r="D23" s="137">
        <v>800</v>
      </c>
      <c r="E23" s="135" t="s">
        <v>115</v>
      </c>
    </row>
    <row r="24" spans="2:6" s="132" customFormat="1" ht="19.5" customHeight="1" x14ac:dyDescent="0.25">
      <c r="B24" s="297" t="s">
        <v>146</v>
      </c>
      <c r="C24" s="298"/>
      <c r="D24" s="137">
        <v>900</v>
      </c>
      <c r="E24" s="135" t="s">
        <v>116</v>
      </c>
    </row>
    <row r="25" spans="2:6" s="132" customFormat="1" ht="19.5" customHeight="1" x14ac:dyDescent="0.25">
      <c r="B25" s="287" t="s">
        <v>145</v>
      </c>
      <c r="C25" s="288"/>
      <c r="D25" s="125">
        <f>D23*D24/1000</f>
        <v>720</v>
      </c>
      <c r="E25" s="139" t="s">
        <v>117</v>
      </c>
    </row>
    <row r="27" spans="2:6" ht="15.75" x14ac:dyDescent="0.25">
      <c r="B27" s="273" t="s">
        <v>114</v>
      </c>
      <c r="C27" s="274"/>
      <c r="D27" s="274"/>
      <c r="E27" s="275"/>
    </row>
    <row r="28" spans="2:6" s="130" customFormat="1" ht="19.5" customHeight="1" x14ac:dyDescent="0.25">
      <c r="B28" s="289" t="s">
        <v>113</v>
      </c>
      <c r="C28" s="290"/>
      <c r="D28" s="137">
        <v>300</v>
      </c>
      <c r="E28" s="135" t="s">
        <v>115</v>
      </c>
      <c r="F28" s="140"/>
    </row>
    <row r="29" spans="2:6" s="130" customFormat="1" ht="19.5" customHeight="1" x14ac:dyDescent="0.25">
      <c r="B29" s="291" t="s">
        <v>146</v>
      </c>
      <c r="C29" s="292"/>
      <c r="D29" s="137">
        <v>900</v>
      </c>
      <c r="E29" s="135" t="s">
        <v>116</v>
      </c>
    </row>
    <row r="30" spans="2:6" s="130" customFormat="1" ht="19.5" customHeight="1" x14ac:dyDescent="0.25">
      <c r="B30" s="293" t="s">
        <v>145</v>
      </c>
      <c r="C30" s="294"/>
      <c r="D30" s="125">
        <f>D28*D29/1000</f>
        <v>270</v>
      </c>
      <c r="E30" s="139" t="s">
        <v>117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8:E8"/>
    <mergeCell ref="B13:E13"/>
    <mergeCell ref="A2:F2"/>
    <mergeCell ref="B9:C9"/>
    <mergeCell ref="B11:C11"/>
    <mergeCell ref="B5:E5"/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 Michael Mayer</cp:lastModifiedBy>
  <cp:lastPrinted>2023-01-23T15:47:50Z</cp:lastPrinted>
  <dcterms:created xsi:type="dcterms:W3CDTF">2022-05-10T08:02:21Z</dcterms:created>
  <dcterms:modified xsi:type="dcterms:W3CDTF">2023-02-15T15:57:37Z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